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jrivadeneira\Desktop\DOCUMENTOS UGP\Plan de Adquisiciones\"/>
    </mc:Choice>
  </mc:AlternateContent>
  <xr:revisionPtr revIDLastSave="0" documentId="13_ncr:1_{A4E875DE-F568-44CB-B5C3-A1C10380AB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GENERAL" sheetId="1" r:id="rId1"/>
  </sheets>
  <definedNames>
    <definedName name="menu4" localSheetId="0">'PLAN GENERAL'!$Y$47</definedName>
    <definedName name="solver_adj" localSheetId="0">'PLAN GENERAL'!$R$3</definedName>
    <definedName name="solver_opt" localSheetId="0">'PLAN GENERAL'!$Q$122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hGN+0xbZs1PMCcuDj6Bj1f+FlWOA=="/>
    </ext>
  </extLst>
</workbook>
</file>

<file path=xl/calcChain.xml><?xml version="1.0" encoding="utf-8"?>
<calcChain xmlns="http://schemas.openxmlformats.org/spreadsheetml/2006/main">
  <c r="AJ19" i="1" l="1"/>
  <c r="D120" i="1"/>
  <c r="D115" i="1"/>
  <c r="D114" i="1"/>
  <c r="T114" i="1" s="1"/>
  <c r="D113" i="1"/>
  <c r="T113" i="1" s="1"/>
  <c r="D112" i="1"/>
  <c r="T112" i="1" s="1"/>
  <c r="T111" i="1"/>
  <c r="Q111" i="1"/>
  <c r="D111" i="1"/>
  <c r="D110" i="1"/>
  <c r="T110" i="1" s="1"/>
  <c r="J109" i="1"/>
  <c r="I109" i="1"/>
  <c r="H109" i="1"/>
  <c r="D109" i="1"/>
  <c r="D74" i="1" s="1"/>
  <c r="J108" i="1"/>
  <c r="I108" i="1"/>
  <c r="H108" i="1"/>
  <c r="R108" i="1" s="1"/>
  <c r="D108" i="1"/>
  <c r="J107" i="1"/>
  <c r="I107" i="1"/>
  <c r="H107" i="1"/>
  <c r="D107" i="1"/>
  <c r="J106" i="1"/>
  <c r="T106" i="1" s="1"/>
  <c r="I106" i="1"/>
  <c r="S106" i="1" s="1"/>
  <c r="H106" i="1"/>
  <c r="R106" i="1" s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R101" i="1" s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D87" i="1"/>
  <c r="T83" i="1"/>
  <c r="S83" i="1"/>
  <c r="R83" i="1"/>
  <c r="Q83" i="1"/>
  <c r="T82" i="1"/>
  <c r="S82" i="1"/>
  <c r="R82" i="1"/>
  <c r="Q82" i="1"/>
  <c r="J81" i="1"/>
  <c r="I81" i="1"/>
  <c r="H81" i="1"/>
  <c r="D81" i="1"/>
  <c r="J80" i="1"/>
  <c r="I80" i="1"/>
  <c r="H80" i="1"/>
  <c r="D80" i="1"/>
  <c r="J79" i="1"/>
  <c r="T79" i="1" s="1"/>
  <c r="I79" i="1"/>
  <c r="S79" i="1" s="1"/>
  <c r="H79" i="1"/>
  <c r="R79" i="1" s="1"/>
  <c r="J78" i="1"/>
  <c r="H78" i="1"/>
  <c r="G78" i="1"/>
  <c r="J77" i="1"/>
  <c r="T77" i="1" s="1"/>
  <c r="I77" i="1"/>
  <c r="S77" i="1" s="1"/>
  <c r="H77" i="1"/>
  <c r="R77" i="1" s="1"/>
  <c r="J76" i="1"/>
  <c r="H76" i="1"/>
  <c r="G76" i="1"/>
  <c r="D76" i="1"/>
  <c r="R75" i="1"/>
  <c r="Q75" i="1"/>
  <c r="M75" i="1"/>
  <c r="J75" i="1"/>
  <c r="I75" i="1"/>
  <c r="H75" i="1"/>
  <c r="D75" i="1"/>
  <c r="V75" i="1" s="1"/>
  <c r="J74" i="1"/>
  <c r="I74" i="1"/>
  <c r="H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H68" i="1"/>
  <c r="D68" i="1"/>
  <c r="J67" i="1"/>
  <c r="I67" i="1"/>
  <c r="H67" i="1"/>
  <c r="R67" i="1" s="1"/>
  <c r="D67" i="1"/>
  <c r="J66" i="1"/>
  <c r="I66" i="1"/>
  <c r="H66" i="1"/>
  <c r="D66" i="1"/>
  <c r="J65" i="1"/>
  <c r="I65" i="1"/>
  <c r="H65" i="1"/>
  <c r="D65" i="1"/>
  <c r="J64" i="1"/>
  <c r="I64" i="1"/>
  <c r="H64" i="1"/>
  <c r="D64" i="1"/>
  <c r="T60" i="1"/>
  <c r="S60" i="1"/>
  <c r="R60" i="1"/>
  <c r="Q60" i="1"/>
  <c r="J59" i="1"/>
  <c r="I59" i="1"/>
  <c r="H59" i="1"/>
  <c r="D59" i="1"/>
  <c r="J58" i="1"/>
  <c r="I58" i="1"/>
  <c r="H58" i="1"/>
  <c r="AJ57" i="1"/>
  <c r="J57" i="1"/>
  <c r="I57" i="1"/>
  <c r="H57" i="1"/>
  <c r="D57" i="1"/>
  <c r="J56" i="1"/>
  <c r="T56" i="1" s="1"/>
  <c r="I56" i="1"/>
  <c r="S56" i="1" s="1"/>
  <c r="H56" i="1"/>
  <c r="R56" i="1" s="1"/>
  <c r="J55" i="1"/>
  <c r="T55" i="1" s="1"/>
  <c r="I55" i="1"/>
  <c r="S55" i="1" s="1"/>
  <c r="H55" i="1"/>
  <c r="R55" i="1" s="1"/>
  <c r="J54" i="1"/>
  <c r="I54" i="1"/>
  <c r="H54" i="1"/>
  <c r="D54" i="1"/>
  <c r="J53" i="1"/>
  <c r="I53" i="1"/>
  <c r="H53" i="1"/>
  <c r="D53" i="1"/>
  <c r="J52" i="1"/>
  <c r="I52" i="1"/>
  <c r="H52" i="1"/>
  <c r="D52" i="1"/>
  <c r="J51" i="1"/>
  <c r="I51" i="1"/>
  <c r="H51" i="1"/>
  <c r="D51" i="1"/>
  <c r="J50" i="1"/>
  <c r="I50" i="1"/>
  <c r="H50" i="1"/>
  <c r="D50" i="1"/>
  <c r="J49" i="1"/>
  <c r="I49" i="1"/>
  <c r="H49" i="1"/>
  <c r="D49" i="1"/>
  <c r="J48" i="1"/>
  <c r="I48" i="1"/>
  <c r="H48" i="1"/>
  <c r="G48" i="1"/>
  <c r="D48" i="1"/>
  <c r="J47" i="1"/>
  <c r="T47" i="1" s="1"/>
  <c r="I47" i="1"/>
  <c r="S47" i="1" s="1"/>
  <c r="H47" i="1"/>
  <c r="R47" i="1" s="1"/>
  <c r="J46" i="1"/>
  <c r="I46" i="1"/>
  <c r="H46" i="1"/>
  <c r="D46" i="1"/>
  <c r="J45" i="1"/>
  <c r="I45" i="1"/>
  <c r="H45" i="1"/>
  <c r="D45" i="1"/>
  <c r="J44" i="1"/>
  <c r="I44" i="1"/>
  <c r="H44" i="1"/>
  <c r="D44" i="1"/>
  <c r="S44" i="1" s="1"/>
  <c r="J43" i="1"/>
  <c r="T43" i="1" s="1"/>
  <c r="I43" i="1"/>
  <c r="S43" i="1" s="1"/>
  <c r="H43" i="1"/>
  <c r="R43" i="1" s="1"/>
  <c r="J38" i="1"/>
  <c r="I38" i="1"/>
  <c r="H38" i="1"/>
  <c r="D38" i="1"/>
  <c r="J37" i="1"/>
  <c r="T37" i="1" s="1"/>
  <c r="I37" i="1"/>
  <c r="S37" i="1" s="1"/>
  <c r="H37" i="1"/>
  <c r="R37" i="1" s="1"/>
  <c r="J36" i="1"/>
  <c r="I36" i="1"/>
  <c r="H36" i="1"/>
  <c r="D36" i="1"/>
  <c r="J35" i="1"/>
  <c r="I35" i="1"/>
  <c r="H35" i="1"/>
  <c r="D35" i="1"/>
  <c r="J34" i="1"/>
  <c r="I34" i="1"/>
  <c r="H34" i="1"/>
  <c r="D34" i="1"/>
  <c r="M33" i="1"/>
  <c r="J33" i="1"/>
  <c r="T33" i="1" s="1"/>
  <c r="I33" i="1"/>
  <c r="S33" i="1" s="1"/>
  <c r="H33" i="1"/>
  <c r="R33" i="1" s="1"/>
  <c r="J32" i="1"/>
  <c r="I32" i="1"/>
  <c r="H32" i="1"/>
  <c r="D32" i="1"/>
  <c r="J31" i="1"/>
  <c r="H31" i="1"/>
  <c r="G31" i="1"/>
  <c r="D31" i="1"/>
  <c r="D78" i="1" s="1"/>
  <c r="D30" i="1"/>
  <c r="J29" i="1"/>
  <c r="H29" i="1"/>
  <c r="G29" i="1"/>
  <c r="D29" i="1"/>
  <c r="J28" i="1"/>
  <c r="T28" i="1" s="1"/>
  <c r="I28" i="1"/>
  <c r="S28" i="1" s="1"/>
  <c r="H28" i="1"/>
  <c r="R28" i="1" s="1"/>
  <c r="R27" i="1"/>
  <c r="Q27" i="1"/>
  <c r="J27" i="1"/>
  <c r="I27" i="1"/>
  <c r="H27" i="1"/>
  <c r="D27" i="1"/>
  <c r="V27" i="1" s="1"/>
  <c r="R26" i="1"/>
  <c r="H26" i="1" s="1"/>
  <c r="Q26" i="1"/>
  <c r="G26" i="1" s="1"/>
  <c r="J26" i="1"/>
  <c r="I26" i="1"/>
  <c r="D26" i="1"/>
  <c r="T22" i="1"/>
  <c r="S22" i="1"/>
  <c r="R22" i="1"/>
  <c r="Q22" i="1"/>
  <c r="J21" i="1"/>
  <c r="I21" i="1"/>
  <c r="H21" i="1"/>
  <c r="D21" i="1"/>
  <c r="J20" i="1"/>
  <c r="T20" i="1" s="1"/>
  <c r="I20" i="1"/>
  <c r="S20" i="1" s="1"/>
  <c r="H20" i="1"/>
  <c r="R20" i="1" s="1"/>
  <c r="J19" i="1"/>
  <c r="I19" i="1"/>
  <c r="H19" i="1"/>
  <c r="D19" i="1"/>
  <c r="J18" i="1"/>
  <c r="I18" i="1"/>
  <c r="H18" i="1"/>
  <c r="D18" i="1"/>
  <c r="J17" i="1"/>
  <c r="T17" i="1" s="1"/>
  <c r="I17" i="1"/>
  <c r="S17" i="1" s="1"/>
  <c r="H17" i="1"/>
  <c r="R17" i="1" s="1"/>
  <c r="J16" i="1"/>
  <c r="T16" i="1" s="1"/>
  <c r="I16" i="1"/>
  <c r="S16" i="1" s="1"/>
  <c r="H16" i="1"/>
  <c r="R16" i="1" s="1"/>
  <c r="J15" i="1"/>
  <c r="I15" i="1"/>
  <c r="H15" i="1"/>
  <c r="D15" i="1"/>
  <c r="J14" i="1"/>
  <c r="I14" i="1"/>
  <c r="H14" i="1"/>
  <c r="D14" i="1"/>
  <c r="J13" i="1"/>
  <c r="T13" i="1" s="1"/>
  <c r="I13" i="1"/>
  <c r="S13" i="1" s="1"/>
  <c r="H13" i="1"/>
  <c r="R13" i="1" s="1"/>
  <c r="J12" i="1"/>
  <c r="T12" i="1" s="1"/>
  <c r="I12" i="1"/>
  <c r="S12" i="1" s="1"/>
  <c r="H12" i="1"/>
  <c r="R12" i="1" s="1"/>
  <c r="J11" i="1"/>
  <c r="I11" i="1"/>
  <c r="H11" i="1"/>
  <c r="D11" i="1"/>
  <c r="AJ10" i="1"/>
  <c r="J10" i="1"/>
  <c r="I10" i="1"/>
  <c r="H10" i="1"/>
  <c r="D10" i="1"/>
  <c r="J9" i="1"/>
  <c r="I9" i="1"/>
  <c r="H9" i="1"/>
  <c r="D9" i="1"/>
  <c r="S5" i="1"/>
  <c r="Q3" i="1"/>
  <c r="G28" i="1" s="1"/>
  <c r="Q28" i="1" s="1"/>
  <c r="Q2" i="1"/>
  <c r="G107" i="1" s="1"/>
  <c r="Q29" i="1" l="1"/>
  <c r="R69" i="1"/>
  <c r="G21" i="1"/>
  <c r="S71" i="1"/>
  <c r="T69" i="1"/>
  <c r="R80" i="1"/>
  <c r="R99" i="1"/>
  <c r="G9" i="1"/>
  <c r="S99" i="1"/>
  <c r="G38" i="1"/>
  <c r="Q38" i="1" s="1"/>
  <c r="R73" i="1"/>
  <c r="D131" i="1"/>
  <c r="R64" i="1"/>
  <c r="S53" i="1"/>
  <c r="T91" i="1"/>
  <c r="T93" i="1"/>
  <c r="D130" i="1"/>
  <c r="S73" i="1"/>
  <c r="T10" i="1"/>
  <c r="R89" i="1"/>
  <c r="Q76" i="1"/>
  <c r="R100" i="1"/>
  <c r="R34" i="1"/>
  <c r="G59" i="1"/>
  <c r="S65" i="1"/>
  <c r="S67" i="1"/>
  <c r="S21" i="1"/>
  <c r="G64" i="1"/>
  <c r="Q64" i="1" s="1"/>
  <c r="T107" i="1"/>
  <c r="U111" i="1"/>
  <c r="R103" i="1"/>
  <c r="R105" i="1"/>
  <c r="R66" i="1"/>
  <c r="G13" i="1"/>
  <c r="Q13" i="1" s="1"/>
  <c r="U13" i="1" s="1"/>
  <c r="V13" i="1" s="1"/>
  <c r="S66" i="1"/>
  <c r="R88" i="1"/>
  <c r="R92" i="1"/>
  <c r="G94" i="1"/>
  <c r="Q94" i="1" s="1"/>
  <c r="U94" i="1" s="1"/>
  <c r="S103" i="1"/>
  <c r="T32" i="1"/>
  <c r="S54" i="1"/>
  <c r="G98" i="1"/>
  <c r="Q98" i="1" s="1"/>
  <c r="U98" i="1" s="1"/>
  <c r="R46" i="1"/>
  <c r="S94" i="1"/>
  <c r="V26" i="1"/>
  <c r="Q31" i="1"/>
  <c r="R59" i="1"/>
  <c r="R65" i="1"/>
  <c r="U22" i="1"/>
  <c r="V22" i="1" s="1"/>
  <c r="G90" i="1"/>
  <c r="Q113" i="1"/>
  <c r="U113" i="1" s="1"/>
  <c r="S34" i="1"/>
  <c r="T34" i="1"/>
  <c r="T101" i="1"/>
  <c r="S46" i="1"/>
  <c r="R31" i="1"/>
  <c r="R19" i="1"/>
  <c r="R38" i="1"/>
  <c r="U83" i="1"/>
  <c r="V83" i="1" s="1"/>
  <c r="R90" i="1"/>
  <c r="R11" i="1"/>
  <c r="S36" i="1"/>
  <c r="T31" i="1"/>
  <c r="T73" i="1"/>
  <c r="R98" i="1"/>
  <c r="S15" i="1"/>
  <c r="S87" i="1"/>
  <c r="S89" i="1"/>
  <c r="T94" i="1"/>
  <c r="S98" i="1"/>
  <c r="R10" i="1"/>
  <c r="G12" i="1"/>
  <c r="Q12" i="1" s="1"/>
  <c r="U12" i="1" s="1"/>
  <c r="V12" i="1" s="1"/>
  <c r="T19" i="1"/>
  <c r="R32" i="1"/>
  <c r="R35" i="1"/>
  <c r="G45" i="1"/>
  <c r="Q45" i="1" s="1"/>
  <c r="S64" i="1"/>
  <c r="R91" i="1"/>
  <c r="R93" i="1"/>
  <c r="S95" i="1"/>
  <c r="R97" i="1"/>
  <c r="T71" i="1"/>
  <c r="T36" i="1"/>
  <c r="T53" i="1"/>
  <c r="T66" i="1"/>
  <c r="S19" i="1"/>
  <c r="S10" i="1"/>
  <c r="G14" i="1"/>
  <c r="Q14" i="1" s="1"/>
  <c r="G16" i="1"/>
  <c r="Q16" i="1" s="1"/>
  <c r="U16" i="1" s="1"/>
  <c r="V16" i="1" s="1"/>
  <c r="G18" i="1"/>
  <c r="Q18" i="1" s="1"/>
  <c r="S32" i="1"/>
  <c r="R45" i="1"/>
  <c r="U60" i="1"/>
  <c r="V60" i="1" s="1"/>
  <c r="T64" i="1"/>
  <c r="S72" i="1"/>
  <c r="S91" i="1"/>
  <c r="S93" i="1"/>
  <c r="S35" i="1"/>
  <c r="S38" i="1"/>
  <c r="S45" i="1"/>
  <c r="S48" i="1"/>
  <c r="S50" i="1"/>
  <c r="R54" i="1"/>
  <c r="S57" i="1"/>
  <c r="R72" i="1"/>
  <c r="R76" i="1"/>
  <c r="U82" i="1"/>
  <c r="V82" i="1" s="1"/>
  <c r="R87" i="1"/>
  <c r="T89" i="1"/>
  <c r="S90" i="1"/>
  <c r="T92" i="1"/>
  <c r="T98" i="1"/>
  <c r="G102" i="1"/>
  <c r="Q102" i="1" s="1"/>
  <c r="T105" i="1"/>
  <c r="S109" i="1"/>
  <c r="R21" i="1"/>
  <c r="R52" i="1"/>
  <c r="R57" i="1"/>
  <c r="S68" i="1"/>
  <c r="D116" i="1"/>
  <c r="S107" i="1"/>
  <c r="R109" i="1"/>
  <c r="R9" i="1"/>
  <c r="S14" i="1"/>
  <c r="R18" i="1"/>
  <c r="S9" i="1"/>
  <c r="T14" i="1"/>
  <c r="S18" i="1"/>
  <c r="T21" i="1"/>
  <c r="G34" i="1"/>
  <c r="Q34" i="1" s="1"/>
  <c r="T38" i="1"/>
  <c r="T45" i="1"/>
  <c r="T48" i="1"/>
  <c r="S59" i="1"/>
  <c r="T90" i="1"/>
  <c r="T95" i="1"/>
  <c r="S97" i="1"/>
  <c r="T99" i="1"/>
  <c r="R102" i="1"/>
  <c r="R104" i="1"/>
  <c r="T109" i="1"/>
  <c r="S74" i="1"/>
  <c r="R48" i="1"/>
  <c r="R70" i="1"/>
  <c r="S105" i="1"/>
  <c r="T18" i="1"/>
  <c r="T54" i="1"/>
  <c r="T59" i="1"/>
  <c r="T72" i="1"/>
  <c r="T97" i="1"/>
  <c r="S102" i="1"/>
  <c r="R44" i="1"/>
  <c r="R49" i="1"/>
  <c r="R51" i="1"/>
  <c r="R53" i="1"/>
  <c r="G66" i="1"/>
  <c r="Q66" i="1" s="1"/>
  <c r="R71" i="1"/>
  <c r="G74" i="1"/>
  <c r="Q74" i="1" s="1"/>
  <c r="S80" i="1"/>
  <c r="R81" i="1"/>
  <c r="R94" i="1"/>
  <c r="R96" i="1"/>
  <c r="T102" i="1"/>
  <c r="S108" i="1"/>
  <c r="Q21" i="1"/>
  <c r="Q48" i="1"/>
  <c r="T74" i="1"/>
  <c r="Q90" i="1"/>
  <c r="R107" i="1"/>
  <c r="Q9" i="1"/>
  <c r="R14" i="1"/>
  <c r="Q59" i="1"/>
  <c r="R95" i="1"/>
  <c r="T9" i="1"/>
  <c r="T44" i="1"/>
  <c r="T87" i="1"/>
  <c r="Q107" i="1"/>
  <c r="G15" i="1"/>
  <c r="Q15" i="1" s="1"/>
  <c r="G10" i="1"/>
  <c r="Q10" i="1" s="1"/>
  <c r="U10" i="1" s="1"/>
  <c r="V10" i="1" s="1"/>
  <c r="R15" i="1"/>
  <c r="G19" i="1"/>
  <c r="Q19" i="1" s="1"/>
  <c r="R29" i="1"/>
  <c r="R36" i="1"/>
  <c r="S49" i="1"/>
  <c r="S51" i="1"/>
  <c r="T88" i="1"/>
  <c r="S101" i="1"/>
  <c r="T103" i="1"/>
  <c r="T108" i="1"/>
  <c r="R78" i="1"/>
  <c r="D58" i="1"/>
  <c r="D129" i="1" s="1"/>
  <c r="S69" i="1"/>
  <c r="Q78" i="1"/>
  <c r="U28" i="1"/>
  <c r="V28" i="1" s="1"/>
  <c r="S11" i="1"/>
  <c r="T51" i="1"/>
  <c r="T57" i="1"/>
  <c r="T78" i="1"/>
  <c r="I76" i="1"/>
  <c r="S76" i="1" s="1"/>
  <c r="I29" i="1"/>
  <c r="S29" i="1" s="1"/>
  <c r="I78" i="1"/>
  <c r="S78" i="1" s="1"/>
  <c r="I31" i="1"/>
  <c r="T11" i="1"/>
  <c r="T15" i="1"/>
  <c r="D23" i="1"/>
  <c r="G27" i="1"/>
  <c r="G32" i="1"/>
  <c r="Q32" i="1" s="1"/>
  <c r="T35" i="1"/>
  <c r="D40" i="1"/>
  <c r="G43" i="1"/>
  <c r="Q43" i="1" s="1"/>
  <c r="T46" i="1"/>
  <c r="T49" i="1"/>
  <c r="S52" i="1"/>
  <c r="G54" i="1"/>
  <c r="Q54" i="1" s="1"/>
  <c r="T65" i="1"/>
  <c r="T67" i="1"/>
  <c r="S70" i="1"/>
  <c r="G72" i="1"/>
  <c r="Q72" i="1" s="1"/>
  <c r="S81" i="1"/>
  <c r="D84" i="1"/>
  <c r="G87" i="1"/>
  <c r="Q87" i="1" s="1"/>
  <c r="S88" i="1"/>
  <c r="G91" i="1"/>
  <c r="Q91" i="1" s="1"/>
  <c r="S92" i="1"/>
  <c r="G95" i="1"/>
  <c r="Q95" i="1" s="1"/>
  <c r="S96" i="1"/>
  <c r="G99" i="1"/>
  <c r="Q99" i="1" s="1"/>
  <c r="S100" i="1"/>
  <c r="G103" i="1"/>
  <c r="Q103" i="1" s="1"/>
  <c r="S104" i="1"/>
  <c r="T29" i="1"/>
  <c r="G35" i="1"/>
  <c r="Q35" i="1" s="1"/>
  <c r="G46" i="1"/>
  <c r="Q46" i="1" s="1"/>
  <c r="G49" i="1"/>
  <c r="Q49" i="1" s="1"/>
  <c r="R50" i="1"/>
  <c r="T52" i="1"/>
  <c r="G65" i="1"/>
  <c r="Q65" i="1" s="1"/>
  <c r="G67" i="1"/>
  <c r="Q67" i="1" s="1"/>
  <c r="R68" i="1"/>
  <c r="T70" i="1"/>
  <c r="G75" i="1"/>
  <c r="T76" i="1"/>
  <c r="G79" i="1"/>
  <c r="Q79" i="1" s="1"/>
  <c r="U79" i="1" s="1"/>
  <c r="V79" i="1" s="1"/>
  <c r="T81" i="1"/>
  <c r="T96" i="1"/>
  <c r="T100" i="1"/>
  <c r="T104" i="1"/>
  <c r="G108" i="1"/>
  <c r="Q108" i="1" s="1"/>
  <c r="G33" i="1"/>
  <c r="Q33" i="1" s="1"/>
  <c r="U33" i="1" s="1"/>
  <c r="V33" i="1" s="1"/>
  <c r="G52" i="1"/>
  <c r="Q52" i="1" s="1"/>
  <c r="G55" i="1"/>
  <c r="Q55" i="1" s="1"/>
  <c r="U55" i="1" s="1"/>
  <c r="V55" i="1" s="1"/>
  <c r="G70" i="1"/>
  <c r="Q70" i="1" s="1"/>
  <c r="G81" i="1"/>
  <c r="Q81" i="1" s="1"/>
  <c r="G88" i="1"/>
  <c r="Q88" i="1" s="1"/>
  <c r="G92" i="1"/>
  <c r="Q92" i="1" s="1"/>
  <c r="G96" i="1"/>
  <c r="Q96" i="1" s="1"/>
  <c r="G100" i="1"/>
  <c r="Q100" i="1" s="1"/>
  <c r="G104" i="1"/>
  <c r="Q104" i="1" s="1"/>
  <c r="G37" i="1"/>
  <c r="Q37" i="1" s="1"/>
  <c r="U37" i="1" s="1"/>
  <c r="V37" i="1" s="1"/>
  <c r="G44" i="1"/>
  <c r="Q44" i="1" s="1"/>
  <c r="G47" i="1"/>
  <c r="Q47" i="1" s="1"/>
  <c r="U47" i="1" s="1"/>
  <c r="V47" i="1" s="1"/>
  <c r="T50" i="1"/>
  <c r="G58" i="1"/>
  <c r="T68" i="1"/>
  <c r="G73" i="1"/>
  <c r="Q73" i="1" s="1"/>
  <c r="U73" i="1" s="1"/>
  <c r="V73" i="1" s="1"/>
  <c r="R74" i="1"/>
  <c r="T80" i="1"/>
  <c r="G109" i="1"/>
  <c r="Q109" i="1" s="1"/>
  <c r="G50" i="1"/>
  <c r="Q50" i="1" s="1"/>
  <c r="G56" i="1"/>
  <c r="Q56" i="1" s="1"/>
  <c r="U56" i="1" s="1"/>
  <c r="V56" i="1" s="1"/>
  <c r="G68" i="1"/>
  <c r="Q68" i="1" s="1"/>
  <c r="G77" i="1"/>
  <c r="Q77" i="1" s="1"/>
  <c r="U77" i="1" s="1"/>
  <c r="V77" i="1" s="1"/>
  <c r="G80" i="1"/>
  <c r="Q80" i="1" s="1"/>
  <c r="G89" i="1"/>
  <c r="Q89" i="1" s="1"/>
  <c r="G93" i="1"/>
  <c r="Q93" i="1" s="1"/>
  <c r="G97" i="1"/>
  <c r="Q97" i="1" s="1"/>
  <c r="G101" i="1"/>
  <c r="Q101" i="1" s="1"/>
  <c r="U101" i="1" s="1"/>
  <c r="G105" i="1"/>
  <c r="Q105" i="1" s="1"/>
  <c r="G17" i="1"/>
  <c r="Q17" i="1" s="1"/>
  <c r="U17" i="1" s="1"/>
  <c r="V17" i="1" s="1"/>
  <c r="G20" i="1"/>
  <c r="Q20" i="1" s="1"/>
  <c r="U20" i="1" s="1"/>
  <c r="V20" i="1" s="1"/>
  <c r="G53" i="1"/>
  <c r="Q53" i="1" s="1"/>
  <c r="U53" i="1" s="1"/>
  <c r="V53" i="1" s="1"/>
  <c r="G71" i="1"/>
  <c r="Q71" i="1" s="1"/>
  <c r="G106" i="1"/>
  <c r="Q106" i="1" s="1"/>
  <c r="U106" i="1" s="1"/>
  <c r="Q110" i="1"/>
  <c r="U110" i="1" s="1"/>
  <c r="Q112" i="1"/>
  <c r="U112" i="1" s="1"/>
  <c r="Q114" i="1"/>
  <c r="U114" i="1" s="1"/>
  <c r="G11" i="1"/>
  <c r="Q11" i="1" s="1"/>
  <c r="G36" i="1"/>
  <c r="Q36" i="1" s="1"/>
  <c r="U36" i="1" s="1"/>
  <c r="V36" i="1" s="1"/>
  <c r="G51" i="1"/>
  <c r="Q51" i="1" s="1"/>
  <c r="G57" i="1"/>
  <c r="Q57" i="1" s="1"/>
  <c r="G69" i="1"/>
  <c r="Q69" i="1" s="1"/>
  <c r="D132" i="1" l="1"/>
  <c r="U48" i="1"/>
  <c r="V48" i="1" s="1"/>
  <c r="U52" i="1"/>
  <c r="V52" i="1" s="1"/>
  <c r="U72" i="1"/>
  <c r="V72" i="1" s="1"/>
  <c r="U91" i="1"/>
  <c r="U64" i="1"/>
  <c r="V64" i="1" s="1"/>
  <c r="T58" i="1"/>
  <c r="T61" i="1" s="1"/>
  <c r="U34" i="1"/>
  <c r="V34" i="1" s="1"/>
  <c r="R116" i="1"/>
  <c r="R23" i="1"/>
  <c r="U21" i="1"/>
  <c r="V21" i="1" s="1"/>
  <c r="U31" i="1"/>
  <c r="V31" i="1" s="1"/>
  <c r="U32" i="1"/>
  <c r="V32" i="1" s="1"/>
  <c r="U88" i="1"/>
  <c r="U19" i="1"/>
  <c r="V19" i="1" s="1"/>
  <c r="U97" i="1"/>
  <c r="U93" i="1"/>
  <c r="U18" i="1"/>
  <c r="V18" i="1" s="1"/>
  <c r="Q58" i="1"/>
  <c r="Q61" i="1" s="1"/>
  <c r="T84" i="1"/>
  <c r="R40" i="1"/>
  <c r="S84" i="1"/>
  <c r="U102" i="1"/>
  <c r="U71" i="1"/>
  <c r="V71" i="1" s="1"/>
  <c r="U44" i="1"/>
  <c r="V44" i="1" s="1"/>
  <c r="U15" i="1"/>
  <c r="V15" i="1" s="1"/>
  <c r="T116" i="1"/>
  <c r="U80" i="1"/>
  <c r="V80" i="1" s="1"/>
  <c r="U74" i="1"/>
  <c r="V74" i="1" s="1"/>
  <c r="U99" i="1"/>
  <c r="U9" i="1"/>
  <c r="V9" i="1" s="1"/>
  <c r="U66" i="1"/>
  <c r="V66" i="1" s="1"/>
  <c r="U69" i="1"/>
  <c r="V69" i="1" s="1"/>
  <c r="U109" i="1"/>
  <c r="U54" i="1"/>
  <c r="V54" i="1" s="1"/>
  <c r="T23" i="1"/>
  <c r="S23" i="1"/>
  <c r="U59" i="1"/>
  <c r="V59" i="1" s="1"/>
  <c r="U57" i="1"/>
  <c r="V57" i="1" s="1"/>
  <c r="U89" i="1"/>
  <c r="U103" i="1"/>
  <c r="U14" i="1"/>
  <c r="V14" i="1" s="1"/>
  <c r="U90" i="1"/>
  <c r="U105" i="1"/>
  <c r="U96" i="1"/>
  <c r="U108" i="1"/>
  <c r="U95" i="1"/>
  <c r="S40" i="1"/>
  <c r="U45" i="1"/>
  <c r="V45" i="1" s="1"/>
  <c r="U107" i="1"/>
  <c r="U46" i="1"/>
  <c r="V46" i="1" s="1"/>
  <c r="U92" i="1"/>
  <c r="R84" i="1"/>
  <c r="U35" i="1"/>
  <c r="V35" i="1" s="1"/>
  <c r="S116" i="1"/>
  <c r="U76" i="1"/>
  <c r="V76" i="1" s="1"/>
  <c r="U38" i="1"/>
  <c r="V38" i="1" s="1"/>
  <c r="T40" i="1"/>
  <c r="U11" i="1"/>
  <c r="V11" i="1" s="1"/>
  <c r="U68" i="1"/>
  <c r="V68" i="1" s="1"/>
  <c r="U104" i="1"/>
  <c r="U49" i="1"/>
  <c r="V49" i="1" s="1"/>
  <c r="Q40" i="1"/>
  <c r="U100" i="1"/>
  <c r="U43" i="1"/>
  <c r="V43" i="1" s="1"/>
  <c r="U50" i="1"/>
  <c r="V50" i="1" s="1"/>
  <c r="U29" i="1"/>
  <c r="V29" i="1" s="1"/>
  <c r="S58" i="1"/>
  <c r="S61" i="1" s="1"/>
  <c r="R58" i="1"/>
  <c r="R61" i="1" s="1"/>
  <c r="R122" i="1" s="1"/>
  <c r="U67" i="1"/>
  <c r="V67" i="1" s="1"/>
  <c r="Q23" i="1"/>
  <c r="U81" i="1"/>
  <c r="V81" i="1" s="1"/>
  <c r="U65" i="1"/>
  <c r="V65" i="1" s="1"/>
  <c r="Q84" i="1"/>
  <c r="D61" i="1"/>
  <c r="U78" i="1"/>
  <c r="V78" i="1" s="1"/>
  <c r="U51" i="1"/>
  <c r="V51" i="1" s="1"/>
  <c r="U70" i="1"/>
  <c r="V70" i="1" s="1"/>
  <c r="Q116" i="1"/>
  <c r="U87" i="1"/>
  <c r="U40" i="1" l="1"/>
  <c r="V40" i="1" s="1"/>
  <c r="S122" i="1"/>
  <c r="T122" i="1"/>
  <c r="U116" i="1"/>
  <c r="V116" i="1" s="1"/>
  <c r="U84" i="1"/>
  <c r="V84" i="1" s="1"/>
  <c r="U61" i="1"/>
  <c r="V61" i="1" s="1"/>
  <c r="U23" i="1"/>
  <c r="V23" i="1" s="1"/>
  <c r="Q122" i="1"/>
  <c r="U58" i="1"/>
  <c r="V58" i="1" s="1"/>
  <c r="D122" i="1"/>
  <c r="U122" i="1" l="1"/>
  <c r="V122" i="1" s="1"/>
  <c r="Q125" i="1"/>
  <c r="R125" i="1" s="1"/>
  <c r="D133" i="1"/>
  <c r="F1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B64" authorId="0" shapeId="0" xr:uid="{00000000-0006-0000-0000-000001000000}">
      <text>
        <r>
          <rPr>
            <sz val="11"/>
            <color theme="1"/>
            <rFont val="Arial"/>
          </rPr>
          <t>======
ID#AAAAS475zb8
Autor    (2021-12-13 20:13:35)
la lista corta tiene fecha 15 de julio y la solicitud de propuesta tiene fecha 6 de agosto</t>
        </r>
      </text>
    </comment>
    <comment ref="AJ106" authorId="0" shapeId="0" xr:uid="{00000000-0006-0000-0000-000003000000}">
      <text>
        <r>
          <rPr>
            <sz val="11"/>
            <color theme="1"/>
            <rFont val="Arial"/>
          </rPr>
          <t>======
ID#AAAAS475zb0
Autor    (2021-12-13 20:13:35)
720 DIAS CALENDARIO ES EL TIEMPO DE CONTRATO</t>
        </r>
      </text>
    </comment>
    <comment ref="AJ108" authorId="0" shapeId="0" xr:uid="{00000000-0006-0000-0000-000002000000}">
      <text>
        <r>
          <rPr>
            <sz val="11"/>
            <color theme="1"/>
            <rFont val="Arial"/>
          </rPr>
          <t>======
ID#AAAAS475zb4
Autor    (2021-12-13 20:13:35)
60 DIAS A PARTIR DEL INICIO DEL CONTRATO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qRfTCWkeZzetGyKztMMLCtCQDUg=="/>
    </ext>
  </extLst>
</comments>
</file>

<file path=xl/sharedStrings.xml><?xml version="1.0" encoding="utf-8"?>
<sst xmlns="http://schemas.openxmlformats.org/spreadsheetml/2006/main" count="910" uniqueCount="368">
  <si>
    <t>Escenarios</t>
  </si>
  <si>
    <t>% BID</t>
  </si>
  <si>
    <t>% FONPRODE</t>
  </si>
  <si>
    <t>% BEI</t>
  </si>
  <si>
    <t>% LOCAL</t>
  </si>
  <si>
    <t>Observacion</t>
  </si>
  <si>
    <t>EC-L 1248</t>
  </si>
  <si>
    <t>Financia BID</t>
  </si>
  <si>
    <t>PROGRAMA DE AGUA POTABLE Y ALCANTARILLAD PARA EL CANTON DE PORTOVIEJO</t>
  </si>
  <si>
    <t>Financia BID+FONPRODE</t>
  </si>
  <si>
    <t>Financia GAD</t>
  </si>
  <si>
    <t>Financia BEI</t>
  </si>
  <si>
    <t>No.</t>
  </si>
  <si>
    <t>Descripción del Contrato</t>
  </si>
  <si>
    <t>Costo Estimado          (US$)</t>
  </si>
  <si>
    <t>Método de Adquisición</t>
  </si>
  <si>
    <t>Revisión                  Ex-ante o          Ex-post</t>
  </si>
  <si>
    <t>Fuente de Financiamiento</t>
  </si>
  <si>
    <t>Precalificación                                    SI / NO</t>
  </si>
  <si>
    <t>Fechas Estimadas</t>
  </si>
  <si>
    <t>Estado: Pendiente, 
en Proceso,  
Adjudicado, o Cancelado</t>
  </si>
  <si>
    <t>Componente</t>
  </si>
  <si>
    <t>Referencia de codigo SEPA / PROCESO</t>
  </si>
  <si>
    <t>FECHAS PROCESO</t>
  </si>
  <si>
    <t>CONTRATO</t>
  </si>
  <si>
    <t>PAGO 1</t>
  </si>
  <si>
    <t>PAGO 2</t>
  </si>
  <si>
    <t>PAGO 3</t>
  </si>
  <si>
    <t>PAGO 4</t>
  </si>
  <si>
    <t>PAGO 5</t>
  </si>
  <si>
    <t>PAGO 6</t>
  </si>
  <si>
    <t>PAGO 7</t>
  </si>
  <si>
    <t>PAGO 8</t>
  </si>
  <si>
    <t>PAGO 9</t>
  </si>
  <si>
    <t>PAGO 10</t>
  </si>
  <si>
    <t>PAGO 11</t>
  </si>
  <si>
    <t>PAGO 12</t>
  </si>
  <si>
    <t>Publicación Anuncio Específico de Adqusición</t>
  </si>
  <si>
    <t>Terminación Contrato</t>
  </si>
  <si>
    <t>BID</t>
  </si>
  <si>
    <t>FONPRODE</t>
  </si>
  <si>
    <t>BEI</t>
  </si>
  <si>
    <t>LOCAL</t>
  </si>
  <si>
    <t>TOTAL</t>
  </si>
  <si>
    <t>Documento de Licitación / Aviso de Expresiones de Interés</t>
  </si>
  <si>
    <t>PP y Lista Corta</t>
  </si>
  <si>
    <t xml:space="preserve">	No Objeción Documentos /PP y Lista Corta</t>
  </si>
  <si>
    <t xml:space="preserve">	Publicación / Invitación / Emisión del PP</t>
  </si>
  <si>
    <t xml:space="preserve">	Apertura</t>
  </si>
  <si>
    <t xml:space="preserve">	Evaluación</t>
  </si>
  <si>
    <t>No Objeción Evaluación</t>
  </si>
  <si>
    <t>Evaluación Final y Negociación</t>
  </si>
  <si>
    <t>No Objeción al Contrato</t>
  </si>
  <si>
    <t>Firma del Contrato</t>
  </si>
  <si>
    <t>Fin del Contrato</t>
  </si>
  <si>
    <t>Monto Incluido IVA</t>
  </si>
  <si>
    <t>Nombre de Adjudicado</t>
  </si>
  <si>
    <t>MONTO
CON IVA</t>
  </si>
  <si>
    <t>FECHA</t>
  </si>
  <si>
    <t>1. BIENES</t>
  </si>
  <si>
    <t>B-001</t>
  </si>
  <si>
    <t>LPI</t>
  </si>
  <si>
    <t>ex - ante</t>
  </si>
  <si>
    <t>No</t>
  </si>
  <si>
    <t>Previsto</t>
  </si>
  <si>
    <t>2. Mejora de la gestión de AyS de Portoviejo</t>
  </si>
  <si>
    <t xml:space="preserve"> 	APAPORTOVIEJO-15-LPI-B-001</t>
  </si>
  <si>
    <t>B-002</t>
  </si>
  <si>
    <t>Adquisición de equipos tecnológicos para UGP</t>
  </si>
  <si>
    <t>CP</t>
  </si>
  <si>
    <t>Contrato en Ejecucion</t>
  </si>
  <si>
    <t>Administración del Programa</t>
  </si>
  <si>
    <t>APAPORTOVIEJO-2-CP-B-002</t>
  </si>
  <si>
    <t>N/A</t>
  </si>
  <si>
    <t>TELCOMBAS S.A.</t>
  </si>
  <si>
    <t>B-003</t>
  </si>
  <si>
    <t>Implementación del Sistema técnico Comercial</t>
  </si>
  <si>
    <t>LPN</t>
  </si>
  <si>
    <t>B-004</t>
  </si>
  <si>
    <t>Mobiliario para oficinas UGP (administrativo)</t>
  </si>
  <si>
    <t>ex - post</t>
  </si>
  <si>
    <t>Proceso Cancelado</t>
  </si>
  <si>
    <t>APAPORTOVIEJO-18-CP-B-004</t>
  </si>
  <si>
    <t>B-005</t>
  </si>
  <si>
    <t>Mobiliario para oficinas UGP (técnico)</t>
  </si>
  <si>
    <t>APAPORTOVIEJO-66-CP-B-005</t>
  </si>
  <si>
    <t>B-006</t>
  </si>
  <si>
    <t>Adquisición de Vehículos livianos para UGP Compra de 3 camionetas 4x4</t>
  </si>
  <si>
    <t>APAPORTOVIEJO-19-LPN-B-006</t>
  </si>
  <si>
    <t>B-007</t>
  </si>
  <si>
    <t>Adquisición de Suministros de Oficina para la UGP</t>
  </si>
  <si>
    <t>APAPORTOVIEJO-20-CP-B-007</t>
  </si>
  <si>
    <t>B-008</t>
  </si>
  <si>
    <t xml:space="preserve"> Suministro de Equipos de Oficina (administrativa) Para oficina de primer año</t>
  </si>
  <si>
    <t>APAPORTOVIEJO-21-CP-B-008</t>
  </si>
  <si>
    <t>B-009</t>
  </si>
  <si>
    <t>Suministro de Equipos de Oficina (técnica)</t>
  </si>
  <si>
    <t>APAPORTOVIEJO-67-CP-B-009</t>
  </si>
  <si>
    <t>B-010</t>
  </si>
  <si>
    <t>Combustibles y lubricantes</t>
  </si>
  <si>
    <t>APAPORTOVIEJO-22-CP-B-010</t>
  </si>
  <si>
    <t>B-011</t>
  </si>
  <si>
    <t>Adquisición de equipos topográficos y de aerofotogrametría</t>
  </si>
  <si>
    <t>Proceso en Curso</t>
  </si>
  <si>
    <t>APAPORTOVIEJO-68-CP-B-011</t>
  </si>
  <si>
    <t>B-012</t>
  </si>
  <si>
    <t>Licencias para uso de modelos de contratos FIDIC</t>
  </si>
  <si>
    <t>APAPORTOVIEJO-78-CD-B-012</t>
  </si>
  <si>
    <t>B-013</t>
  </si>
  <si>
    <t>Adquisición de Banco de ensayo de Medidores de agua potable</t>
  </si>
  <si>
    <t xml:space="preserve">	APAPORTOVIEJO-82-LPN-B-013</t>
  </si>
  <si>
    <t>Sub Total Bienes</t>
  </si>
  <si>
    <t>2. OBRAS</t>
  </si>
  <si>
    <t>O - 001</t>
  </si>
  <si>
    <t>Construcción de sistema de captación, aducción de agua cruda, Planta de tratamiento de agua potable (PTAP) del sitio Mancha Grande</t>
  </si>
  <si>
    <t>-</t>
  </si>
  <si>
    <t>1. Ampliación mejoramiento de AP y Alcantarillado</t>
  </si>
  <si>
    <t>APAPORTOVIEJO-3-LPI-O-001</t>
  </si>
  <si>
    <t>O - 002</t>
  </si>
  <si>
    <t>Construcción de los sistemas de drenaje pluvial y agua potable de la parroquia Crucita</t>
  </si>
  <si>
    <t>APAPORTOVIEJO-4-LPI-O- 002</t>
  </si>
  <si>
    <t>O - 003</t>
  </si>
  <si>
    <t>Construcción de las Plantas de tratamiento de aguas residuales de las parroquias Chirijos, Alhajuela, Abdón Calderón, Pueblo Nuevo y el sitio San Gabriel</t>
  </si>
  <si>
    <t xml:space="preserve">	APAPORTOVIEJO-5-LPI-O-003</t>
  </si>
  <si>
    <t>O - 004</t>
  </si>
  <si>
    <t>Construcción de línea de conducción de agua potable desde el sitio Mancha Grande hasta Crucita y todas sus derivaciones y Construcción en instalación de los tanques de agua potable con su infraestructura para el sitio Mancha Grande y las cabeceras de las parroquias San Plácido, Alhajuela, Chirijos, Pueblo Nuevo, Abdón Calderón, Río Chico, Crucita y los sitios San Gabriel y Alas Delta de Crucita</t>
  </si>
  <si>
    <t>SDO-PORTOVIEJO-BEI-PR-O-004</t>
  </si>
  <si>
    <t>O - 005</t>
  </si>
  <si>
    <t>O - 006</t>
  </si>
  <si>
    <t>Construcción de los sistemas de drenaje pluvial, sistema de alcantarillado sanitario y agua potable de las parroquias San Plácido, Chirijos, Alhajuela, Abdón Calderón, Pueblo Nuevo y Rio Chico,  y el sitio San Gabriel</t>
  </si>
  <si>
    <t>SDO-PORTOVIEJO-BEI-PR-O-006</t>
  </si>
  <si>
    <t>O - 007</t>
  </si>
  <si>
    <t>Construcción de los sistemas de drenaje pluvial, agua potable y alcantarillado sanitario de la parroquia Colón</t>
  </si>
  <si>
    <t xml:space="preserve">	APAPORTOVIEJO-23-LPI-O-007</t>
  </si>
  <si>
    <t>O - 008</t>
  </si>
  <si>
    <t>Eliminación de la doble red de la ciudad de Portoviejo</t>
  </si>
  <si>
    <t>APAPORTOVIEJO-24-LPN-O-008</t>
  </si>
  <si>
    <t>Taponamiento de red antigua en 3 sectores de la ciudad y la macro sectorización de redes para la gestión de pérdidas de agua potable en el cantón Portoviejo</t>
  </si>
  <si>
    <t>APAPORTOVIEJO-80-LPN-O-008</t>
  </si>
  <si>
    <t>N(A</t>
  </si>
  <si>
    <t>O - 009</t>
  </si>
  <si>
    <t>Ejecución del Programa de eficiencia energética en la Planta Cuatro Esquinas</t>
  </si>
  <si>
    <t>APAPORTOVIEJO-25-LPN-O-009</t>
  </si>
  <si>
    <t>O - 011</t>
  </si>
  <si>
    <t>Infraestructura de los baños para instalar espacios de lactancia, cambiadores de pañales adecuado</t>
  </si>
  <si>
    <t>APAPORTOVIEJO-27-CP-O-011</t>
  </si>
  <si>
    <t>O - 012</t>
  </si>
  <si>
    <t>APAPORTOVIEJO-88-CP-O-012</t>
  </si>
  <si>
    <t>O - 013</t>
  </si>
  <si>
    <t>APAPORTOVIEJO-87-CP-O-013</t>
  </si>
  <si>
    <t>Sub Total Obras</t>
  </si>
  <si>
    <t>3. SERVICIOS DIFERENTE A CONSULTORIA</t>
  </si>
  <si>
    <t>SDC-01</t>
  </si>
  <si>
    <t xml:space="preserve">Programa de formación en Fontanería para hombres y mujeres para brindar apoyo técnico a PORTOAGUAS elaborado e implementado </t>
  </si>
  <si>
    <t>APAPORTOVIEJO-90-LPN-S-01</t>
  </si>
  <si>
    <t>SDC-02</t>
  </si>
  <si>
    <t>Programa Guardianes del Agua de PORTOAGUAS para mujeres replicado en las 7 parroquias del Cantón de Portoviejo</t>
  </si>
  <si>
    <t xml:space="preserve"> 	APAPORTOVIEJO-29-CP-S-02</t>
  </si>
  <si>
    <t>SDC-03</t>
  </si>
  <si>
    <t>Plan de reclutamiento de mujeres ingenieras en el sector técnico de PORTOAGUAS implementado</t>
  </si>
  <si>
    <t>APAPORTOVIEJO-32-CP-S-03</t>
  </si>
  <si>
    <t>SDC-04</t>
  </si>
  <si>
    <t>Equipo Apoyo Programa (soporte UGP)</t>
  </si>
  <si>
    <t>SDC-05</t>
  </si>
  <si>
    <t xml:space="preserve">Contratación de prensa escrita para el primer año de ejecución de obras (Publicación de convocatorias de concursos, adjudicaciones y otras publicaciones) </t>
  </si>
  <si>
    <t>APAPORTOVIEJO-33-CP-S-05</t>
  </si>
  <si>
    <t>SDC-06</t>
  </si>
  <si>
    <t>Viáticos, subsistencias y contingentes</t>
  </si>
  <si>
    <t>SDC-07</t>
  </si>
  <si>
    <t>Alquiler de oficinas administrativas temporal (período 10 meses)</t>
  </si>
  <si>
    <t>APAPORTOVIEJO-35-CP-S-07</t>
  </si>
  <si>
    <t>Luz Marina Ospina Chávez</t>
  </si>
  <si>
    <t>SDC-08</t>
  </si>
  <si>
    <t>Alquiler de oficinas técnicas por dos años</t>
  </si>
  <si>
    <t xml:space="preserve">	APAPORTOVIEJO-36-CP-S-08</t>
  </si>
  <si>
    <t>SDC-09</t>
  </si>
  <si>
    <t>Seguro de bienes</t>
  </si>
  <si>
    <t>SDC-10</t>
  </si>
  <si>
    <t>Mantenimiento de vehículos</t>
  </si>
  <si>
    <t>SDC-11</t>
  </si>
  <si>
    <t>Alquiler de vehículos</t>
  </si>
  <si>
    <t>APAPORTOVIEJO-39-LPN-S-11</t>
  </si>
  <si>
    <t>SDC-12</t>
  </si>
  <si>
    <t>Servicio de copiado e impresión</t>
  </si>
  <si>
    <t>APAPORTOVIEJO-40-CP-S-12</t>
  </si>
  <si>
    <t>SDC-13</t>
  </si>
  <si>
    <t>Servicio de capacitación</t>
  </si>
  <si>
    <t>SDC-14</t>
  </si>
  <si>
    <t>Servicio de reparaciones menores y mantenimiento de oficinas</t>
  </si>
  <si>
    <t>APAPORTOVIEJO-42-CP-S-14</t>
  </si>
  <si>
    <t>SDC-15</t>
  </si>
  <si>
    <t>Contratación de periódico local para la notificación de los actos derivados de los procesos de expropiación, en cumplimiento a lo dispuesto en el Código Orgánico Administrativo</t>
  </si>
  <si>
    <t>CD</t>
  </si>
  <si>
    <t>APAPORTOVIEJO-85-C.D-S-15</t>
  </si>
  <si>
    <t>EDIASA S.A.</t>
  </si>
  <si>
    <t>SDC-16</t>
  </si>
  <si>
    <t>SDC-17</t>
  </si>
  <si>
    <t xml:space="preserve">Servicio de limpieza de oficinas </t>
  </si>
  <si>
    <t>APAPORTOVIEJO-86-CP-S-17</t>
  </si>
  <si>
    <t>4. SERVICIOS DE CONSULTORIA - FIRMAS CONSULTORAS</t>
  </si>
  <si>
    <t>FC-01</t>
  </si>
  <si>
    <t>Estudios definitivos de alimentación eléctrica para la PTAP (Línea de transmisión eléctrica de 69 Kv)</t>
  </si>
  <si>
    <t>SBCC</t>
  </si>
  <si>
    <t>APAPORTOVIEJO-1-SBCC-CF-01</t>
  </si>
  <si>
    <t>FC-02</t>
  </si>
  <si>
    <t>Revisión y actualización de los estudios - sistemas de almacenamiento (Tanques) con sus accesos y Rediseño de las PTAR</t>
  </si>
  <si>
    <t>APAPORTOVIEJO-45-SBCC-CF-02</t>
  </si>
  <si>
    <t>FC-03</t>
  </si>
  <si>
    <t>SCC</t>
  </si>
  <si>
    <t>Estudio de diseño definitivo de las poblaciones en tránsito y revisión / actualización de los sistemas de distribución de agua potable y saneamiento de las parroquias rurales.</t>
  </si>
  <si>
    <t>APAPORTOVIEJO-83-SCC-CF-03</t>
  </si>
  <si>
    <t>FC-04</t>
  </si>
  <si>
    <t>Estudio prospectivo del Plan Maestro de Agua potable y Saneamiento del Cantón Portoviejo</t>
  </si>
  <si>
    <t>APAPORTOVIEJO-47-SBCC-CF-04</t>
  </si>
  <si>
    <t>FC-05</t>
  </si>
  <si>
    <t>Plan de Gestión Social en las nuevas áreas de servicio (Parroquias) implementado</t>
  </si>
  <si>
    <t>FC-06</t>
  </si>
  <si>
    <t>Plan de capacitación en prevención de violencia y acoso laboral elaborado e implementado</t>
  </si>
  <si>
    <t>SD</t>
  </si>
  <si>
    <t>ex -post</t>
  </si>
  <si>
    <t>APAPORTOVIEJO-49-S.D-CF-06</t>
  </si>
  <si>
    <t>FC-07</t>
  </si>
  <si>
    <t>Sistema para monitoreo del Programa de voluntarias comunitarias del GAD desarrollado e implementado</t>
  </si>
  <si>
    <t>APAPORTOVIEJO-50-SBCC-CF-07</t>
  </si>
  <si>
    <t>FC-08</t>
  </si>
  <si>
    <t>Estudio de adecuación tarifaria elaborado</t>
  </si>
  <si>
    <t xml:space="preserve">	APAPORTOVIEJO-51-SBCC-CF-08</t>
  </si>
  <si>
    <t>FC-09</t>
  </si>
  <si>
    <t>Modelo de Gestión Comercial para nuevas áreas de servicio de Portoaguas elaborado.</t>
  </si>
  <si>
    <t xml:space="preserve">	APAPORTOVIEJO-52-SBCC-CF-09</t>
  </si>
  <si>
    <t>FC-10</t>
  </si>
  <si>
    <t>Plan de Calidad de AP elaborado e implementado</t>
  </si>
  <si>
    <t xml:space="preserve">	APAPORTOVIEJO-53-SBCC-CF-10</t>
  </si>
  <si>
    <t>FC-11</t>
  </si>
  <si>
    <t>SBC</t>
  </si>
  <si>
    <t>APAPORTOVIEJO-54-SCC-CF-11</t>
  </si>
  <si>
    <t>PricewaterhouseCoopers del Ecuador Cía. Ltda</t>
  </si>
  <si>
    <t>FC-12</t>
  </si>
  <si>
    <t>Fiscalización de Construcción de sistema de captación, aducción de agua cruda, PTAP, Línea de impulsión a tanque de carga del sitio Mancha Grande, y de la Construcción de los sistemas de drenaje pluvial y agua potablede la parroquia Crucita</t>
  </si>
  <si>
    <t>APAPORTOVIEJO-6-SBCC-CF-012</t>
  </si>
  <si>
    <t>FC-13</t>
  </si>
  <si>
    <t>Fiscalización de Construcción de línea de conducción de agua potable desde el sitio Mancha Grande hasta Crucita y todas sus derivaciones, y de la Construcción e instalación de los tanques de agua potable con su infraestructura para el sitio Mancha Grande y las cabeceras de las parroquias San Plácido, Alhajuela, Chirijos, Pueblo Nuevo, Abdón Calderón, Río Chico, Crucita y los sitios San Gabriel y Alas Delta de Crucita.</t>
  </si>
  <si>
    <t>Licitación Internacional Restringida</t>
  </si>
  <si>
    <t>SI</t>
  </si>
  <si>
    <t>SDP-PORTOVIEJO-BEI-SBCC-CF-013</t>
  </si>
  <si>
    <t>FC-14</t>
  </si>
  <si>
    <t>Fiscalización de Construcción de las Plantas de tratamiento de aguas residuales de las parroquias Chirijos, Alhajuela, Abdón Calderón, Pueblo Nuevo y el sitio San Gabriel</t>
  </si>
  <si>
    <t xml:space="preserve">	APAPORTOVIEJO-57-SBCC-CF-14</t>
  </si>
  <si>
    <t>FC-15</t>
  </si>
  <si>
    <t>Fiscalización de Construcción de los sistemas de drenaje pluvial, sistema de alcantarillado sanitario y agua potable de las parroquias San Plácido, Chirijos, Alhajuela, Abdón Calderón, Pueblo Nuevo y Rio Chico,  y el sitio San Gabriel</t>
  </si>
  <si>
    <t>SDP-PORTOVIEJO-BEI-SBCC-CF-015</t>
  </si>
  <si>
    <t>FC-16</t>
  </si>
  <si>
    <t>Fiscalización de Construcción de los sistemas de drenaje pluvial, agua potable y alcantarillado sanitario de la parroquia Colón</t>
  </si>
  <si>
    <t>APAPORTOVIEJO-58-SBCC-CF-16</t>
  </si>
  <si>
    <t>FC-17</t>
  </si>
  <si>
    <t>Proyecto de marketing y comercialización de las Asociaciones productivas del GAD implementado</t>
  </si>
  <si>
    <t>APAPORTOVIEJO-76-SBCC-CF-17</t>
  </si>
  <si>
    <t>FC-19</t>
  </si>
  <si>
    <t>Estudio de actualización y revisión de los sistemas de distribución de agua residual y agua potable y de las parroquia Colón</t>
  </si>
  <si>
    <t>APAPORTOVIEJO-84-SCC-CF-19</t>
  </si>
  <si>
    <t>Sub Total Servicios de Consultoría - Firmas Consultoras</t>
  </si>
  <si>
    <t>5. SERVICIOS DE CONSULTORIA INDIVIDUAL</t>
  </si>
  <si>
    <t>CI - 01</t>
  </si>
  <si>
    <t>CCII</t>
  </si>
  <si>
    <t>APAPORTOVIEJO-59-3CV-CI-01</t>
  </si>
  <si>
    <t>CI - 02</t>
  </si>
  <si>
    <t>APAPORTOVIEJO-60-3CV-CI-02</t>
  </si>
  <si>
    <t>CI - 03</t>
  </si>
  <si>
    <t>APAPORTOVIEJO-61-3CV-CI-03</t>
  </si>
  <si>
    <t>CI - 04</t>
  </si>
  <si>
    <t>Especialista de Comunicación</t>
  </si>
  <si>
    <t>CCIN</t>
  </si>
  <si>
    <t>APAPORTOVIEJO-62-3CV-CI-04</t>
  </si>
  <si>
    <t>Danny Daniel Zambrano Rivera</t>
  </si>
  <si>
    <t>CI - 05</t>
  </si>
  <si>
    <t xml:space="preserve">Coordinador Técnico </t>
  </si>
  <si>
    <t xml:space="preserve">        APAPORTOVIEJO-7-3CV-CI-05</t>
  </si>
  <si>
    <t>Sigifredo Antonio Velez Centeno</t>
  </si>
  <si>
    <t>CI - 06</t>
  </si>
  <si>
    <t>APAPORTOVIEJO-13-3CV-CI-06</t>
  </si>
  <si>
    <t>Wilson Leonardo Ponce Andrade</t>
  </si>
  <si>
    <t>CI - 07</t>
  </si>
  <si>
    <t>APAPORTOVIEJO-8-3CV-CI-07</t>
  </si>
  <si>
    <t>Juan Carlos Santos Mendoza</t>
  </si>
  <si>
    <t>CI - 08</t>
  </si>
  <si>
    <t>Especialista Ambiental</t>
  </si>
  <si>
    <t>APAPORTOVIEJO-9-3CV-CI-08</t>
  </si>
  <si>
    <t>CI - 09</t>
  </si>
  <si>
    <t>Especialista Fortalecimiento Institucional</t>
  </si>
  <si>
    <t>APAPORTOVIEJO-63-3CV-CI-09</t>
  </si>
  <si>
    <t>Jahaira Katherine Rivadeneira Mendoza</t>
  </si>
  <si>
    <t>CI - 10</t>
  </si>
  <si>
    <t>Especialista en Planificación y Seguimiento</t>
  </si>
  <si>
    <t>APAPORTOVIEJO-10-3CV-CI-10</t>
  </si>
  <si>
    <t>Milton Santiago Perero Intriago</t>
  </si>
  <si>
    <t>CI - 11</t>
  </si>
  <si>
    <t>Especialista de Adquisiciones</t>
  </si>
  <si>
    <t>APAPORTOVIEJO-11-3CV-CI-11</t>
  </si>
  <si>
    <t>Cintya Pamela López Párraga</t>
  </si>
  <si>
    <t>CI - 12</t>
  </si>
  <si>
    <t>Especialista Financiero</t>
  </si>
  <si>
    <t xml:space="preserve">        APAPORTOVIEJO-12-3CV-CI-12</t>
  </si>
  <si>
    <t>Angela Azucena Palacios Alcívar</t>
  </si>
  <si>
    <t>CI - 13</t>
  </si>
  <si>
    <t>Técnico de Fortalecimiento</t>
  </si>
  <si>
    <t xml:space="preserve">	APAPORTOVIEJO-64-3CV-CI-13</t>
  </si>
  <si>
    <t>CI - 14</t>
  </si>
  <si>
    <t>Técnico de Seguimiento y Control</t>
  </si>
  <si>
    <t xml:space="preserve">	APAPORTOVIEJO-65-3CV-CI-14</t>
  </si>
  <si>
    <t>CI - 15</t>
  </si>
  <si>
    <t>Especialista Técnico de Obra</t>
  </si>
  <si>
    <t>APAPORTOVIEJO-69-3CV-CI-15</t>
  </si>
  <si>
    <t>Gary Wendell Bowen Giler</t>
  </si>
  <si>
    <t xml:space="preserve">	APAPORTOVIEJO-69-3CV-CI-15</t>
  </si>
  <si>
    <t>CI - 18</t>
  </si>
  <si>
    <t xml:space="preserve">	APAPORTOVIEJO-72-3CV-CI-18</t>
  </si>
  <si>
    <t>CI - 19</t>
  </si>
  <si>
    <t xml:space="preserve">	APAPORTOVIEJO-73-3CV-CI-19</t>
  </si>
  <si>
    <t>CI - 20</t>
  </si>
  <si>
    <t xml:space="preserve">Perito evaluador </t>
  </si>
  <si>
    <t>APAPORTOVIEJO-74-3CV-CI-20</t>
  </si>
  <si>
    <t>Mónica Asunción Macías Valle</t>
  </si>
  <si>
    <t>CI - 21</t>
  </si>
  <si>
    <t>APAPORTOVIEJO-75-3CV-CI-21</t>
  </si>
  <si>
    <t>Washington Colón Castillo Jurado</t>
  </si>
  <si>
    <t>CI - 22</t>
  </si>
  <si>
    <t>APAPORTOVIEJO-79-3CV-CI-22</t>
  </si>
  <si>
    <t>Juan Carlos Sani Sani</t>
  </si>
  <si>
    <t>CI - 23</t>
  </si>
  <si>
    <t>Técnico de Adquisiciones</t>
  </si>
  <si>
    <t>APAPORTOVIEJO-89-3CV-CI-23</t>
  </si>
  <si>
    <t>CI - 24</t>
  </si>
  <si>
    <t>APAPORTOVIEJO-93-S.D-CI-24</t>
  </si>
  <si>
    <t>CI - 25</t>
  </si>
  <si>
    <t>Especialista Jurídico</t>
  </si>
  <si>
    <t>APAPORTOVIEJO-94-S.D-CI-25</t>
  </si>
  <si>
    <t>CI - 26</t>
  </si>
  <si>
    <t>APAPORTOVIEJO-95-S.D-CI-26</t>
  </si>
  <si>
    <t>CI - 27</t>
  </si>
  <si>
    <t>APAPORTOVIEJO-96-S.D-CI-27</t>
  </si>
  <si>
    <t>CI - 28</t>
  </si>
  <si>
    <t>Técnico Financiero</t>
  </si>
  <si>
    <t>APAPORTOVIEJO-97-3CV-CI-28</t>
  </si>
  <si>
    <t>Viáticos</t>
  </si>
  <si>
    <t>Sub Total Servicios de Consultoría Individual</t>
  </si>
  <si>
    <t xml:space="preserve">6. GASTOS OPERATIVOS DEL PROGRAMA   </t>
  </si>
  <si>
    <t>Sub Total Gastos Operativos del Programa</t>
  </si>
  <si>
    <t>TOTAL PLAN DE ADQUISICIONES DEL PROGRAMA</t>
  </si>
  <si>
    <r>
      <rPr>
        <b/>
        <sz val="11"/>
        <color theme="1"/>
        <rFont val="Calibri"/>
      </rPr>
      <t>Firmas Consultoras:</t>
    </r>
    <r>
      <rPr>
        <sz val="11"/>
        <color theme="1"/>
        <rFont val="Calibri Light"/>
      </rPr>
      <t xml:space="preserve"> SBCC: Selección Basada en la Calidad y el Costo; SBC: Selección Basada en la Calidad; SBPF: Selección Basada en Presupuesto Fijo; SBMC: Selección Basada en el Menor Costo; SCC: Selección Basada en las Calificaciones de los Consultores; SD: Selección Directa</t>
    </r>
  </si>
  <si>
    <r>
      <rPr>
        <b/>
        <sz val="11"/>
        <color theme="1"/>
        <rFont val="Calibri"/>
      </rPr>
      <t>Consultores Individuales:</t>
    </r>
    <r>
      <rPr>
        <sz val="11"/>
        <color theme="1"/>
        <rFont val="Calibri Light"/>
      </rPr>
      <t xml:space="preserve"> CCIN: Selección basada en la Comparación de Calificaciones Consultor Individual Nacional; CCII: Selección basada en la Comparación de Calificaciones Consultor Individual Internacional.</t>
    </r>
  </si>
  <si>
    <r>
      <rPr>
        <b/>
        <sz val="11"/>
        <color theme="1"/>
        <rFont val="Calibri"/>
      </rPr>
      <t xml:space="preserve">Obras , Bienes y Servicios Diferentes a Consultoria: </t>
    </r>
    <r>
      <rPr>
        <sz val="11"/>
        <color theme="1"/>
        <rFont val="Calibri Light"/>
      </rPr>
      <t>LPI: Licitación Pública Internacional; LPN: Licitación Pública Nacional; CP: Comparación de Precios</t>
    </r>
  </si>
  <si>
    <t>Total</t>
  </si>
  <si>
    <t>VILLACIS IMPORTA EXPORTA - VIETIC CIA. LTDA.</t>
  </si>
  <si>
    <t>PLAN DE ADQUISICIONES DEL PROGRAMA AL 12 DE ENERO DE 2022</t>
  </si>
  <si>
    <t>Adquisición de Vehículo Hidrosuccionador</t>
  </si>
  <si>
    <t>Especialista Técnico de Proyecto Base</t>
  </si>
  <si>
    <t>Actualización de Levantamientos Topográfico y Ortofotos del proyecto</t>
  </si>
  <si>
    <t>Adecuaciones de oficina técnica (Incluye mobiliario y equipos)</t>
  </si>
  <si>
    <t>Adecuaciones a edificio de PORTOAGUAS</t>
  </si>
  <si>
    <t>Contratación de prensa escrita (Publicación de convocatorias de concursos y otras publicaciones)</t>
  </si>
  <si>
    <t>Sub Total Servicios Diferente a Consultorías</t>
  </si>
  <si>
    <t>Auditoría Financiera</t>
  </si>
  <si>
    <t>Evaluación Intermedia del Programa</t>
  </si>
  <si>
    <t>Evaluación Final del Programa</t>
  </si>
  <si>
    <t>Evaluación Expost</t>
  </si>
  <si>
    <t>Asesoría de acompañamiento técnico</t>
  </si>
  <si>
    <t>Asesoría de acompañamiento de adquisiciones</t>
  </si>
  <si>
    <t>Diseño de Ingeniería Básica de Sub-Estación Eléctrica de PTAP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</si>
</sst>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;&quot;$&quot;\-#,##0.00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#,##0.00"/>
    <numFmt numFmtId="165" formatCode="[$-409]d\-mmm\-yyyy"/>
    <numFmt numFmtId="166" formatCode="dd/mm/yyyy"/>
    <numFmt numFmtId="167" formatCode="dd/mm/yy"/>
    <numFmt numFmtId="168" formatCode="0.0%"/>
    <numFmt numFmtId="169" formatCode="d\-m\-yy"/>
    <numFmt numFmtId="170" formatCode="dd\-mm\-yy"/>
    <numFmt numFmtId="171" formatCode="#,##0.0"/>
    <numFmt numFmtId="172" formatCode="&quot;$&quot;\ #,##0.00"/>
  </numFmts>
  <fonts count="20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1"/>
      <color rgb="FFFFFFFF"/>
      <name val="Calibri"/>
    </font>
    <font>
      <sz val="11"/>
      <color rgb="FFFFFFFF"/>
      <name val="Calibri"/>
    </font>
    <font>
      <b/>
      <sz val="12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strike/>
      <sz val="11"/>
      <color theme="1"/>
      <name val="Calibri"/>
    </font>
    <font>
      <b/>
      <sz val="10"/>
      <color theme="1"/>
      <name val="Calibri"/>
    </font>
    <font>
      <b/>
      <sz val="11"/>
      <color rgb="FF674EA7"/>
      <name val="Calibri"/>
    </font>
    <font>
      <sz val="11"/>
      <color rgb="FF7030A0"/>
      <name val="Calibri"/>
    </font>
    <font>
      <sz val="11"/>
      <color rgb="FF674EA7"/>
      <name val="Calibri"/>
    </font>
    <font>
      <b/>
      <sz val="11"/>
      <color rgb="FF7030A0"/>
      <name val="Calibri"/>
    </font>
    <font>
      <sz val="11"/>
      <color theme="1"/>
      <name val="Calibri Light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808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2F5496"/>
        <bgColor rgb="FF2F5496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A8D08D"/>
        <bgColor rgb="FFA8D08D"/>
      </patternFill>
    </fill>
    <fill>
      <patternFill patternType="solid">
        <fgColor rgb="FFDEEAF6"/>
        <bgColor rgb="FFDEEAF6"/>
      </patternFill>
    </fill>
    <fill>
      <patternFill patternType="solid">
        <fgColor rgb="FF00B0F0"/>
        <bgColor rgb="FF00B0F0"/>
      </patternFill>
    </fill>
    <fill>
      <patternFill patternType="solid">
        <fgColor rgb="FFB4C6E7"/>
        <bgColor rgb="FFB4C6E7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rgb="FFFFFF00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1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0" fontId="1" fillId="2" borderId="4" xfId="0" applyNumberFormat="1" applyFont="1" applyFill="1" applyBorder="1" applyAlignment="1">
      <alignment vertical="center"/>
    </xf>
    <xf numFmtId="10" fontId="1" fillId="0" borderId="4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4" fontId="7" fillId="4" borderId="27" xfId="0" applyNumberFormat="1" applyFont="1" applyFill="1" applyBorder="1" applyAlignment="1">
      <alignment horizontal="center" vertical="center" wrapText="1"/>
    </xf>
    <xf numFmtId="165" fontId="1" fillId="4" borderId="27" xfId="0" applyNumberFormat="1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vertical="center"/>
    </xf>
    <xf numFmtId="0" fontId="6" fillId="4" borderId="27" xfId="0" applyFont="1" applyFill="1" applyBorder="1" applyAlignment="1">
      <alignment vertical="center"/>
    </xf>
    <xf numFmtId="0" fontId="6" fillId="4" borderId="28" xfId="0" applyFont="1" applyFill="1" applyBorder="1" applyAlignment="1">
      <alignment vertical="center"/>
    </xf>
    <xf numFmtId="166" fontId="1" fillId="4" borderId="24" xfId="0" applyNumberFormat="1" applyFont="1" applyFill="1" applyBorder="1" applyAlignment="1">
      <alignment horizontal="center" vertical="center" wrapText="1"/>
    </xf>
    <xf numFmtId="166" fontId="1" fillId="4" borderId="4" xfId="0" applyNumberFormat="1" applyFont="1" applyFill="1" applyBorder="1" applyAlignment="1">
      <alignment horizontal="center" vertical="center" wrapText="1"/>
    </xf>
    <xf numFmtId="166" fontId="1" fillId="4" borderId="25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4" borderId="24" xfId="0" applyNumberFormat="1" applyFont="1" applyFill="1" applyBorder="1" applyAlignment="1">
      <alignment horizontal="center" vertical="center" wrapText="1"/>
    </xf>
    <xf numFmtId="167" fontId="1" fillId="4" borderId="25" xfId="0" applyNumberFormat="1" applyFont="1" applyFill="1" applyBorder="1" applyAlignment="1">
      <alignment horizontal="center" vertical="center" wrapText="1"/>
    </xf>
    <xf numFmtId="167" fontId="1" fillId="4" borderId="24" xfId="0" applyNumberFormat="1" applyFont="1" applyFill="1" applyBorder="1" applyAlignment="1">
      <alignment horizontal="center" vertical="center" wrapText="1"/>
    </xf>
    <xf numFmtId="167" fontId="1" fillId="4" borderId="29" xfId="0" applyNumberFormat="1" applyFont="1" applyFill="1" applyBorder="1" applyAlignment="1">
      <alignment horizontal="center" vertical="center" wrapText="1"/>
    </xf>
    <xf numFmtId="167" fontId="1" fillId="4" borderId="30" xfId="0" applyNumberFormat="1" applyFont="1" applyFill="1" applyBorder="1" applyAlignment="1">
      <alignment horizontal="center" vertical="center" wrapText="1"/>
    </xf>
    <xf numFmtId="166" fontId="1" fillId="4" borderId="3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166" fontId="1" fillId="0" borderId="24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166" fontId="1" fillId="0" borderId="2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7" fontId="1" fillId="0" borderId="25" xfId="0" applyNumberFormat="1" applyFont="1" applyBorder="1" applyAlignment="1">
      <alignment horizontal="center" vertical="center" wrapText="1"/>
    </xf>
    <xf numFmtId="167" fontId="1" fillId="0" borderId="24" xfId="0" applyNumberFormat="1" applyFont="1" applyBorder="1" applyAlignment="1">
      <alignment horizontal="center" vertical="center" wrapText="1"/>
    </xf>
    <xf numFmtId="166" fontId="1" fillId="0" borderId="33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6" fontId="1" fillId="0" borderId="2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25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6" fontId="1" fillId="0" borderId="34" xfId="0" applyNumberFormat="1" applyFont="1" applyBorder="1" applyAlignment="1">
      <alignment horizontal="center" vertical="center" wrapText="1"/>
    </xf>
    <xf numFmtId="166" fontId="1" fillId="0" borderId="21" xfId="0" applyNumberFormat="1" applyFont="1" applyBorder="1" applyAlignment="1">
      <alignment horizontal="center" vertical="center" wrapText="1"/>
    </xf>
    <xf numFmtId="166" fontId="1" fillId="0" borderId="35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7" fontId="1" fillId="0" borderId="35" xfId="0" applyNumberFormat="1" applyFont="1" applyBorder="1" applyAlignment="1">
      <alignment horizontal="center" vertical="center" wrapText="1"/>
    </xf>
    <xf numFmtId="167" fontId="1" fillId="0" borderId="34" xfId="0" applyNumberFormat="1" applyFont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right" vertical="center" wrapText="1"/>
    </xf>
    <xf numFmtId="0" fontId="1" fillId="6" borderId="36" xfId="0" applyFont="1" applyFill="1" applyBorder="1" applyAlignment="1">
      <alignment horizontal="center" vertical="center" wrapText="1"/>
    </xf>
    <xf numFmtId="9" fontId="1" fillId="6" borderId="36" xfId="0" applyNumberFormat="1" applyFont="1" applyFill="1" applyBorder="1" applyAlignment="1">
      <alignment horizontal="center" vertical="center" wrapText="1"/>
    </xf>
    <xf numFmtId="17" fontId="2" fillId="6" borderId="36" xfId="0" applyNumberFormat="1" applyFont="1" applyFill="1" applyBorder="1" applyAlignment="1">
      <alignment horizontal="center" vertical="center" wrapText="1"/>
    </xf>
    <xf numFmtId="166" fontId="1" fillId="6" borderId="37" xfId="0" applyNumberFormat="1" applyFont="1" applyFill="1" applyBorder="1" applyAlignment="1">
      <alignment horizontal="center" vertical="center" wrapText="1"/>
    </xf>
    <xf numFmtId="164" fontId="1" fillId="6" borderId="37" xfId="0" applyNumberFormat="1" applyFont="1" applyFill="1" applyBorder="1" applyAlignment="1">
      <alignment horizontal="center" vertical="center" wrapText="1"/>
    </xf>
    <xf numFmtId="167" fontId="1" fillId="6" borderId="37" xfId="0" applyNumberFormat="1" applyFont="1" applyFill="1" applyBorder="1" applyAlignment="1">
      <alignment horizontal="center" vertical="center" wrapText="1"/>
    </xf>
    <xf numFmtId="166" fontId="1" fillId="6" borderId="36" xfId="0" applyNumberFormat="1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vertical="center" wrapText="1"/>
    </xf>
    <xf numFmtId="4" fontId="1" fillId="6" borderId="37" xfId="0" applyNumberFormat="1" applyFont="1" applyFill="1" applyBorder="1" applyAlignment="1">
      <alignment horizontal="right" vertical="center" wrapText="1"/>
    </xf>
    <xf numFmtId="9" fontId="1" fillId="6" borderId="37" xfId="0" applyNumberFormat="1" applyFont="1" applyFill="1" applyBorder="1" applyAlignment="1">
      <alignment horizontal="center" vertical="center" wrapText="1"/>
    </xf>
    <xf numFmtId="17" fontId="2" fillId="6" borderId="37" xfId="0" applyNumberFormat="1" applyFont="1" applyFill="1" applyBorder="1" applyAlignment="1">
      <alignment horizontal="center" vertical="center" wrapText="1"/>
    </xf>
    <xf numFmtId="164" fontId="8" fillId="6" borderId="37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horizontal="center" vertical="center" wrapText="1"/>
    </xf>
    <xf numFmtId="166" fontId="1" fillId="4" borderId="38" xfId="0" applyNumberFormat="1" applyFont="1" applyFill="1" applyBorder="1" applyAlignment="1">
      <alignment horizontal="center" vertical="center" wrapText="1"/>
    </xf>
    <xf numFmtId="164" fontId="1" fillId="4" borderId="29" xfId="0" applyNumberFormat="1" applyFont="1" applyFill="1" applyBorder="1" applyAlignment="1">
      <alignment horizontal="center" vertical="center" wrapText="1"/>
    </xf>
    <xf numFmtId="166" fontId="1" fillId="4" borderId="3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 wrapText="1"/>
    </xf>
    <xf numFmtId="166" fontId="1" fillId="0" borderId="32" xfId="0" applyNumberFormat="1" applyFont="1" applyBorder="1" applyAlignment="1">
      <alignment horizontal="center" vertical="center" wrapText="1"/>
    </xf>
    <xf numFmtId="17" fontId="2" fillId="5" borderId="4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right" vertical="center" wrapText="1"/>
    </xf>
    <xf numFmtId="3" fontId="1" fillId="6" borderId="36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164" fontId="1" fillId="6" borderId="36" xfId="0" applyNumberFormat="1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5" borderId="4" xfId="0" applyNumberFormat="1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7" borderId="4" xfId="0" applyFont="1" applyFill="1" applyBorder="1" applyAlignment="1">
      <alignment horizontal="center" vertical="center" wrapText="1"/>
    </xf>
    <xf numFmtId="4" fontId="1" fillId="7" borderId="4" xfId="0" applyNumberFormat="1" applyFont="1" applyFill="1" applyBorder="1" applyAlignment="1">
      <alignment horizontal="right" vertical="center" wrapText="1"/>
    </xf>
    <xf numFmtId="168" fontId="1" fillId="7" borderId="4" xfId="0" applyNumberFormat="1" applyFont="1" applyFill="1" applyBorder="1" applyAlignment="1">
      <alignment horizontal="center" vertical="center" wrapText="1"/>
    </xf>
    <xf numFmtId="17" fontId="2" fillId="7" borderId="4" xfId="0" applyNumberFormat="1" applyFont="1" applyFill="1" applyBorder="1" applyAlignment="1">
      <alignment horizontal="center" vertical="center" wrapText="1"/>
    </xf>
    <xf numFmtId="164" fontId="11" fillId="0" borderId="24" xfId="0" applyNumberFormat="1" applyFont="1" applyBorder="1" applyAlignment="1">
      <alignment horizontal="center" vertical="center" wrapText="1"/>
    </xf>
    <xf numFmtId="167" fontId="11" fillId="0" borderId="25" xfId="0" applyNumberFormat="1" applyFont="1" applyBorder="1" applyAlignment="1">
      <alignment horizontal="center" vertical="center" wrapText="1"/>
    </xf>
    <xf numFmtId="17" fontId="2" fillId="5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70" fontId="1" fillId="0" borderId="4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2" fillId="6" borderId="4" xfId="0" applyNumberFormat="1" applyFont="1" applyFill="1" applyBorder="1" applyAlignment="1">
      <alignment horizontal="right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 wrapText="1"/>
    </xf>
    <xf numFmtId="4" fontId="1" fillId="9" borderId="4" xfId="0" applyNumberFormat="1" applyFont="1" applyFill="1" applyBorder="1" applyAlignment="1">
      <alignment horizontal="right" vertical="center" wrapText="1"/>
    </xf>
    <xf numFmtId="168" fontId="1" fillId="9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/>
    </xf>
    <xf numFmtId="17" fontId="2" fillId="9" borderId="4" xfId="0" applyNumberFormat="1" applyFont="1" applyFill="1" applyBorder="1" applyAlignment="1">
      <alignment horizontal="center" vertical="center" wrapText="1"/>
    </xf>
    <xf numFmtId="164" fontId="8" fillId="9" borderId="4" xfId="0" applyNumberFormat="1" applyFont="1" applyFill="1" applyBorder="1" applyAlignment="1">
      <alignment horizontal="center" vertical="center" wrapText="1"/>
    </xf>
    <xf numFmtId="166" fontId="1" fillId="9" borderId="4" xfId="0" applyNumberFormat="1" applyFont="1" applyFill="1" applyBorder="1" applyAlignment="1">
      <alignment horizontal="center" vertical="center" wrapText="1"/>
    </xf>
    <xf numFmtId="166" fontId="1" fillId="9" borderId="4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166" fontId="1" fillId="9" borderId="38" xfId="0" applyNumberFormat="1" applyFont="1" applyFill="1" applyBorder="1" applyAlignment="1">
      <alignment horizontal="center" vertical="center" wrapText="1"/>
    </xf>
    <xf numFmtId="164" fontId="1" fillId="9" borderId="24" xfId="0" applyNumberFormat="1" applyFont="1" applyFill="1" applyBorder="1" applyAlignment="1">
      <alignment horizontal="center" vertical="center" wrapText="1"/>
    </xf>
    <xf numFmtId="167" fontId="1" fillId="9" borderId="25" xfId="0" applyNumberFormat="1" applyFont="1" applyFill="1" applyBorder="1" applyAlignment="1">
      <alignment horizontal="center" vertical="center" wrapText="1"/>
    </xf>
    <xf numFmtId="167" fontId="1" fillId="9" borderId="24" xfId="0" applyNumberFormat="1" applyFont="1" applyFill="1" applyBorder="1" applyAlignment="1">
      <alignment horizontal="center" vertical="center" wrapText="1"/>
    </xf>
    <xf numFmtId="166" fontId="1" fillId="9" borderId="39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3" fontId="1" fillId="0" borderId="4" xfId="0" applyNumberFormat="1" applyFont="1" applyBorder="1" applyAlignment="1">
      <alignment horizontal="right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7" fontId="2" fillId="0" borderId="25" xfId="0" applyNumberFormat="1" applyFont="1" applyBorder="1" applyAlignment="1">
      <alignment horizontal="center" vertical="center" wrapText="1"/>
    </xf>
    <xf numFmtId="2" fontId="14" fillId="0" borderId="2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166" fontId="12" fillId="10" borderId="4" xfId="0" applyNumberFormat="1" applyFont="1" applyFill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6" fontId="12" fillId="0" borderId="32" xfId="0" applyNumberFormat="1" applyFont="1" applyBorder="1" applyAlignment="1">
      <alignment horizontal="center" vertical="center" wrapText="1"/>
    </xf>
    <xf numFmtId="171" fontId="1" fillId="0" borderId="4" xfId="0" applyNumberFormat="1" applyFont="1" applyBorder="1" applyAlignment="1">
      <alignment horizontal="right" vertical="center" wrapText="1"/>
    </xf>
    <xf numFmtId="172" fontId="12" fillId="11" borderId="4" xfId="0" applyNumberFormat="1" applyFont="1" applyFill="1" applyBorder="1"/>
    <xf numFmtId="172" fontId="14" fillId="11" borderId="24" xfId="0" applyNumberFormat="1" applyFont="1" applyFill="1" applyBorder="1"/>
    <xf numFmtId="172" fontId="1" fillId="11" borderId="4" xfId="0" applyNumberFormat="1" applyFont="1" applyFill="1" applyBorder="1"/>
    <xf numFmtId="164" fontId="14" fillId="0" borderId="24" xfId="0" applyNumberFormat="1" applyFont="1" applyBorder="1" applyAlignment="1">
      <alignment horizontal="center" vertical="center" wrapText="1"/>
    </xf>
    <xf numFmtId="172" fontId="14" fillId="11" borderId="24" xfId="0" applyNumberFormat="1" applyFont="1" applyFill="1" applyBorder="1" applyAlignment="1">
      <alignment vertical="center"/>
    </xf>
    <xf numFmtId="0" fontId="1" fillId="12" borderId="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left" vertical="center" wrapText="1"/>
    </xf>
    <xf numFmtId="3" fontId="1" fillId="12" borderId="4" xfId="0" applyNumberFormat="1" applyFont="1" applyFill="1" applyBorder="1" applyAlignment="1">
      <alignment horizontal="right" vertical="center" wrapText="1"/>
    </xf>
    <xf numFmtId="168" fontId="1" fillId="12" borderId="4" xfId="0" applyNumberFormat="1" applyFont="1" applyFill="1" applyBorder="1" applyAlignment="1">
      <alignment horizontal="center" vertical="center" wrapText="1"/>
    </xf>
    <xf numFmtId="17" fontId="2" fillId="12" borderId="4" xfId="0" applyNumberFormat="1" applyFont="1" applyFill="1" applyBorder="1" applyAlignment="1">
      <alignment horizontal="center" vertical="center" wrapText="1"/>
    </xf>
    <xf numFmtId="17" fontId="2" fillId="12" borderId="4" xfId="0" applyNumberFormat="1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vertical="center"/>
    </xf>
    <xf numFmtId="0" fontId="1" fillId="12" borderId="0" xfId="0" applyFont="1" applyFill="1" applyAlignment="1">
      <alignment vertical="center"/>
    </xf>
    <xf numFmtId="164" fontId="8" fillId="12" borderId="4" xfId="0" applyNumberFormat="1" applyFont="1" applyFill="1" applyBorder="1" applyAlignment="1">
      <alignment horizontal="center" vertical="center" wrapText="1"/>
    </xf>
    <xf numFmtId="164" fontId="8" fillId="12" borderId="4" xfId="0" applyNumberFormat="1" applyFont="1" applyFill="1" applyBorder="1" applyAlignment="1">
      <alignment horizontal="center" vertical="center" wrapText="1"/>
    </xf>
    <xf numFmtId="166" fontId="1" fillId="12" borderId="4" xfId="0" applyNumberFormat="1" applyFont="1" applyFill="1" applyBorder="1" applyAlignment="1">
      <alignment horizontal="center" vertical="center" wrapText="1"/>
    </xf>
    <xf numFmtId="166" fontId="1" fillId="12" borderId="4" xfId="0" applyNumberFormat="1" applyFont="1" applyFill="1" applyBorder="1" applyAlignment="1">
      <alignment horizontal="center" vertical="center" wrapText="1"/>
    </xf>
    <xf numFmtId="164" fontId="1" fillId="12" borderId="4" xfId="0" applyNumberFormat="1" applyFont="1" applyFill="1" applyBorder="1" applyAlignment="1">
      <alignment horizontal="center" vertical="center" wrapText="1"/>
    </xf>
    <xf numFmtId="166" fontId="1" fillId="12" borderId="32" xfId="0" applyNumberFormat="1" applyFont="1" applyFill="1" applyBorder="1" applyAlignment="1">
      <alignment horizontal="center" vertical="center" wrapText="1"/>
    </xf>
    <xf numFmtId="164" fontId="1" fillId="12" borderId="40" xfId="0" applyNumberFormat="1" applyFont="1" applyFill="1" applyBorder="1" applyAlignment="1">
      <alignment horizontal="center" vertical="center" wrapText="1"/>
    </xf>
    <xf numFmtId="167" fontId="1" fillId="12" borderId="41" xfId="0" applyNumberFormat="1" applyFont="1" applyFill="1" applyBorder="1" applyAlignment="1">
      <alignment horizontal="center" vertical="center" wrapText="1"/>
    </xf>
    <xf numFmtId="167" fontId="1" fillId="12" borderId="40" xfId="0" applyNumberFormat="1" applyFont="1" applyFill="1" applyBorder="1" applyAlignment="1">
      <alignment horizontal="center" vertical="center" wrapText="1"/>
    </xf>
    <xf numFmtId="166" fontId="1" fillId="12" borderId="33" xfId="0" applyNumberFormat="1" applyFont="1" applyFill="1" applyBorder="1" applyAlignment="1">
      <alignment horizontal="center" vertical="center" wrapText="1"/>
    </xf>
    <xf numFmtId="164" fontId="1" fillId="12" borderId="34" xfId="0" applyNumberFormat="1" applyFont="1" applyFill="1" applyBorder="1" applyAlignment="1">
      <alignment horizontal="center" vertical="center" wrapText="1"/>
    </xf>
    <xf numFmtId="167" fontId="1" fillId="12" borderId="35" xfId="0" applyNumberFormat="1" applyFont="1" applyFill="1" applyBorder="1" applyAlignment="1">
      <alignment horizontal="center" vertical="center" wrapText="1"/>
    </xf>
    <xf numFmtId="167" fontId="1" fillId="12" borderId="34" xfId="0" applyNumberFormat="1" applyFont="1" applyFill="1" applyBorder="1" applyAlignment="1">
      <alignment horizontal="center" vertical="center" wrapText="1"/>
    </xf>
    <xf numFmtId="0" fontId="1" fillId="12" borderId="42" xfId="0" applyFont="1" applyFill="1" applyBorder="1" applyAlignment="1">
      <alignment horizontal="left" vertical="center" wrapText="1"/>
    </xf>
    <xf numFmtId="0" fontId="1" fillId="12" borderId="42" xfId="0" applyFont="1" applyFill="1" applyBorder="1" applyAlignment="1">
      <alignment horizontal="center" vertical="center" wrapText="1"/>
    </xf>
    <xf numFmtId="166" fontId="1" fillId="12" borderId="42" xfId="0" applyNumberFormat="1" applyFont="1" applyFill="1" applyBorder="1" applyAlignment="1">
      <alignment horizontal="center" vertical="center" wrapText="1"/>
    </xf>
    <xf numFmtId="164" fontId="1" fillId="12" borderId="42" xfId="0" applyNumberFormat="1" applyFont="1" applyFill="1" applyBorder="1" applyAlignment="1">
      <alignment horizontal="center" vertical="center" wrapText="1"/>
    </xf>
    <xf numFmtId="164" fontId="1" fillId="12" borderId="0" xfId="0" applyNumberFormat="1" applyFont="1" applyFill="1" applyAlignment="1">
      <alignment horizontal="center" vertical="center" wrapText="1"/>
    </xf>
    <xf numFmtId="167" fontId="1" fillId="12" borderId="0" xfId="0" applyNumberFormat="1" applyFont="1" applyFill="1" applyAlignment="1">
      <alignment horizontal="center" vertical="center" wrapText="1"/>
    </xf>
    <xf numFmtId="168" fontId="1" fillId="12" borderId="42" xfId="0" applyNumberFormat="1" applyFont="1" applyFill="1" applyBorder="1" applyAlignment="1">
      <alignment horizontal="center" vertical="center" wrapText="1"/>
    </xf>
    <xf numFmtId="17" fontId="2" fillId="12" borderId="42" xfId="0" applyNumberFormat="1" applyFont="1" applyFill="1" applyBorder="1" applyAlignment="1">
      <alignment horizontal="center" vertical="center" wrapText="1"/>
    </xf>
    <xf numFmtId="17" fontId="2" fillId="12" borderId="42" xfId="0" applyNumberFormat="1" applyFont="1" applyFill="1" applyBorder="1" applyAlignment="1">
      <alignment horizontal="center" vertical="center" wrapText="1"/>
    </xf>
    <xf numFmtId="0" fontId="1" fillId="12" borderId="42" xfId="0" applyFont="1" applyFill="1" applyBorder="1" applyAlignment="1">
      <alignment horizontal="center" vertical="center" wrapText="1"/>
    </xf>
    <xf numFmtId="0" fontId="1" fillId="12" borderId="42" xfId="0" applyFont="1" applyFill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9" fontId="1" fillId="0" borderId="42" xfId="0" applyNumberFormat="1" applyFont="1" applyBorder="1" applyAlignment="1">
      <alignment horizontal="center" vertical="center" wrapText="1"/>
    </xf>
    <xf numFmtId="17" fontId="2" fillId="0" borderId="42" xfId="0" applyNumberFormat="1" applyFont="1" applyBorder="1" applyAlignment="1">
      <alignment horizontal="center" vertical="center" wrapText="1"/>
    </xf>
    <xf numFmtId="166" fontId="1" fillId="0" borderId="42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 wrapText="1"/>
    </xf>
    <xf numFmtId="168" fontId="1" fillId="6" borderId="4" xfId="0" applyNumberFormat="1" applyFont="1" applyFill="1" applyBorder="1" applyAlignment="1">
      <alignment horizontal="center" vertical="center" wrapText="1"/>
    </xf>
    <xf numFmtId="17" fontId="2" fillId="6" borderId="4" xfId="0" applyNumberFormat="1" applyFont="1" applyFill="1" applyBorder="1" applyAlignment="1">
      <alignment horizontal="center" vertical="center" wrapText="1"/>
    </xf>
    <xf numFmtId="166" fontId="1" fillId="6" borderId="4" xfId="0" applyNumberFormat="1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166" fontId="1" fillId="6" borderId="38" xfId="0" applyNumberFormat="1" applyFont="1" applyFill="1" applyBorder="1" applyAlignment="1">
      <alignment horizontal="center" vertical="center" wrapText="1"/>
    </xf>
    <xf numFmtId="164" fontId="1" fillId="6" borderId="34" xfId="0" applyNumberFormat="1" applyFont="1" applyFill="1" applyBorder="1" applyAlignment="1">
      <alignment horizontal="center" vertical="center" wrapText="1"/>
    </xf>
    <xf numFmtId="167" fontId="1" fillId="6" borderId="35" xfId="0" applyNumberFormat="1" applyFont="1" applyFill="1" applyBorder="1" applyAlignment="1">
      <alignment horizontal="center" vertical="center" wrapText="1"/>
    </xf>
    <xf numFmtId="167" fontId="1" fillId="6" borderId="34" xfId="0" applyNumberFormat="1" applyFont="1" applyFill="1" applyBorder="1" applyAlignment="1">
      <alignment horizontal="center" vertical="center" wrapText="1"/>
    </xf>
    <xf numFmtId="166" fontId="1" fillId="6" borderId="39" xfId="0" applyNumberFormat="1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vertical="center"/>
    </xf>
    <xf numFmtId="4" fontId="2" fillId="6" borderId="44" xfId="0" applyNumberFormat="1" applyFont="1" applyFill="1" applyBorder="1" applyAlignment="1">
      <alignment horizontal="right" vertical="center"/>
    </xf>
    <xf numFmtId="4" fontId="1" fillId="6" borderId="37" xfId="0" applyNumberFormat="1" applyFont="1" applyFill="1" applyBorder="1" applyAlignment="1">
      <alignment horizontal="center" vertical="center"/>
    </xf>
    <xf numFmtId="9" fontId="1" fillId="6" borderId="37" xfId="0" applyNumberFormat="1" applyFont="1" applyFill="1" applyBorder="1" applyAlignment="1">
      <alignment horizontal="center" vertical="center"/>
    </xf>
    <xf numFmtId="43" fontId="1" fillId="6" borderId="37" xfId="0" applyNumberFormat="1" applyFont="1" applyFill="1" applyBorder="1" applyAlignment="1">
      <alignment horizontal="center" vertical="center"/>
    </xf>
    <xf numFmtId="17" fontId="2" fillId="6" borderId="37" xfId="0" applyNumberFormat="1" applyFont="1" applyFill="1" applyBorder="1" applyAlignment="1">
      <alignment horizontal="center" vertical="center"/>
    </xf>
    <xf numFmtId="3" fontId="1" fillId="6" borderId="37" xfId="0" applyNumberFormat="1" applyFont="1" applyFill="1" applyBorder="1" applyAlignment="1">
      <alignment horizontal="center" vertical="center" wrapText="1"/>
    </xf>
    <xf numFmtId="43" fontId="1" fillId="6" borderId="37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vertical="center"/>
    </xf>
    <xf numFmtId="164" fontId="1" fillId="2" borderId="37" xfId="0" applyNumberFormat="1" applyFont="1" applyFill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7" fontId="7" fillId="0" borderId="4" xfId="0" applyNumberFormat="1" applyFont="1" applyBorder="1" applyAlignment="1">
      <alignment vertical="center"/>
    </xf>
    <xf numFmtId="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7" fontId="2" fillId="0" borderId="0" xfId="0" applyNumberFormat="1" applyFont="1" applyAlignment="1">
      <alignment vertical="center"/>
    </xf>
    <xf numFmtId="7" fontId="1" fillId="0" borderId="0" xfId="0" applyNumberFormat="1" applyFont="1" applyAlignment="1">
      <alignment vertical="center"/>
    </xf>
    <xf numFmtId="17" fontId="2" fillId="13" borderId="4" xfId="0" applyNumberFormat="1" applyFont="1" applyFill="1" applyBorder="1" applyAlignment="1">
      <alignment horizontal="center" vertical="center" wrapText="1"/>
    </xf>
    <xf numFmtId="4" fontId="1" fillId="13" borderId="4" xfId="0" applyNumberFormat="1" applyFont="1" applyFill="1" applyBorder="1" applyAlignment="1">
      <alignment horizontal="right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12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14" borderId="4" xfId="0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7" borderId="4" xfId="0" applyFont="1" applyFill="1" applyBorder="1" applyAlignment="1">
      <alignment horizontal="justify" vertical="center" wrapText="1"/>
    </xf>
    <xf numFmtId="0" fontId="1" fillId="5" borderId="4" xfId="0" applyFont="1" applyFill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" fillId="8" borderId="4" xfId="0" applyFont="1" applyFill="1" applyBorder="1" applyAlignment="1">
      <alignment horizontal="justify" vertical="center" wrapText="1"/>
    </xf>
    <xf numFmtId="0" fontId="17" fillId="9" borderId="4" xfId="0" applyFont="1" applyFill="1" applyBorder="1" applyAlignment="1">
      <alignment horizontal="justify" vertical="center" wrapText="1"/>
    </xf>
    <xf numFmtId="0" fontId="1" fillId="9" borderId="4" xfId="0" applyFont="1" applyFill="1" applyBorder="1" applyAlignment="1">
      <alignment horizontal="justify" vertical="center" wrapText="1"/>
    </xf>
    <xf numFmtId="0" fontId="2" fillId="4" borderId="32" xfId="0" applyFont="1" applyFill="1" applyBorder="1" applyAlignment="1">
      <alignment horizontal="left" vertical="center"/>
    </xf>
    <xf numFmtId="0" fontId="3" fillId="0" borderId="33" xfId="0" applyFont="1" applyBorder="1"/>
    <xf numFmtId="0" fontId="2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18" fillId="6" borderId="3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/>
    </xf>
    <xf numFmtId="0" fontId="3" fillId="0" borderId="11" xfId="0" applyFont="1" applyBorder="1"/>
    <xf numFmtId="0" fontId="2" fillId="6" borderId="32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left" vertical="center"/>
    </xf>
    <xf numFmtId="0" fontId="6" fillId="6" borderId="3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3" fillId="0" borderId="19" xfId="0" applyFont="1" applyBorder="1"/>
    <xf numFmtId="4" fontId="4" fillId="3" borderId="8" xfId="0" applyNumberFormat="1" applyFont="1" applyFill="1" applyBorder="1" applyAlignment="1">
      <alignment horizontal="center" vertical="center" wrapText="1"/>
    </xf>
    <xf numFmtId="0" fontId="3" fillId="0" borderId="20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4" fillId="3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4" fillId="3" borderId="16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3" fillId="0" borderId="10" xfId="0" applyFont="1" applyBorder="1"/>
    <xf numFmtId="0" fontId="3" fillId="0" borderId="20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</cellXfs>
  <cellStyles count="1">
    <cellStyle name="Normal" xfId="0" builtinId="0"/>
  </cellStyles>
  <dxfs count="5">
    <dxf>
      <font>
        <strike/>
      </font>
      <fill>
        <patternFill patternType="solid">
          <fgColor rgb="FFF7CAAC"/>
          <bgColor rgb="FFF7CAAC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0CECE"/>
          <bgColor rgb="FFD0CECE"/>
        </patternFill>
      </fill>
    </dxf>
    <dxf>
      <fill>
        <patternFill patternType="solid">
          <fgColor rgb="FFFEF2CB"/>
          <bgColor rgb="FFFEF2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001"/>
  <sheetViews>
    <sheetView showGridLines="0" tabSelected="1" zoomScale="90" zoomScaleNormal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122" sqref="E122"/>
    </sheetView>
  </sheetViews>
  <sheetFormatPr baseColWidth="10" defaultColWidth="12.625" defaultRowHeight="15" customHeight="1" x14ac:dyDescent="0.2"/>
  <cols>
    <col min="1" max="1" width="2" customWidth="1"/>
    <col min="2" max="2" width="16.25" customWidth="1"/>
    <col min="3" max="3" width="60.5" customWidth="1"/>
    <col min="4" max="4" width="15.25" customWidth="1"/>
    <col min="5" max="5" width="14.375" customWidth="1"/>
    <col min="6" max="6" width="13.75" customWidth="1"/>
    <col min="7" max="10" width="8.5" customWidth="1"/>
    <col min="11" max="11" width="11.125" customWidth="1"/>
    <col min="12" max="12" width="18.125" customWidth="1"/>
    <col min="13" max="13" width="13.125" customWidth="1"/>
    <col min="14" max="14" width="16.25" customWidth="1"/>
    <col min="15" max="15" width="2.125" customWidth="1"/>
    <col min="16" max="16" width="7.625" customWidth="1"/>
    <col min="17" max="20" width="13.75" customWidth="1"/>
    <col min="21" max="21" width="18.125" customWidth="1"/>
    <col min="22" max="22" width="13" customWidth="1"/>
    <col min="23" max="23" width="5" customWidth="1"/>
    <col min="24" max="24" width="25.125" customWidth="1"/>
    <col min="25" max="25" width="30.625" customWidth="1"/>
    <col min="26" max="26" width="13.75" customWidth="1"/>
    <col min="27" max="34" width="11.125" customWidth="1"/>
    <col min="35" max="35" width="10.25" customWidth="1"/>
    <col min="36" max="36" width="14" customWidth="1"/>
    <col min="37" max="37" width="13.75" customWidth="1"/>
    <col min="38" max="38" width="26.875" customWidth="1"/>
    <col min="39" max="39" width="11.75" hidden="1" customWidth="1"/>
    <col min="40" max="62" width="10.25" hidden="1" customWidth="1"/>
    <col min="63" max="63" width="10" hidden="1" customWidth="1"/>
  </cols>
  <sheetData>
    <row r="1" spans="1:63" ht="14.25" customHeight="1" x14ac:dyDescent="0.2">
      <c r="A1" s="1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4"/>
      <c r="P1" s="5" t="s">
        <v>0</v>
      </c>
      <c r="Q1" s="6" t="s">
        <v>1</v>
      </c>
      <c r="R1" s="6" t="s">
        <v>2</v>
      </c>
      <c r="S1" s="6" t="s">
        <v>3</v>
      </c>
      <c r="T1" s="6" t="s">
        <v>4</v>
      </c>
      <c r="U1" s="5" t="s">
        <v>5</v>
      </c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ht="14.25" customHeight="1" x14ac:dyDescent="0.2">
      <c r="A2" s="8"/>
      <c r="B2" s="249" t="s">
        <v>6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10"/>
      <c r="P2" s="11">
        <v>1</v>
      </c>
      <c r="Q2" s="12">
        <f>1-T3</f>
        <v>0.89285714299999996</v>
      </c>
      <c r="R2" s="13">
        <v>0</v>
      </c>
      <c r="S2" s="13">
        <v>0</v>
      </c>
      <c r="T2" s="13">
        <v>0.10714285699999999</v>
      </c>
      <c r="U2" s="11" t="s">
        <v>7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4.25" customHeight="1" x14ac:dyDescent="0.2">
      <c r="A3" s="8"/>
      <c r="B3" s="250" t="s">
        <v>8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10"/>
      <c r="P3" s="11">
        <v>2</v>
      </c>
      <c r="Q3" s="12">
        <f>1-R3-T3</f>
        <v>0.46579531350148357</v>
      </c>
      <c r="R3" s="13">
        <v>0.4270618294985164</v>
      </c>
      <c r="S3" s="13">
        <v>0</v>
      </c>
      <c r="T3" s="13">
        <v>0.10714285699999999</v>
      </c>
      <c r="U3" s="11" t="s">
        <v>9</v>
      </c>
      <c r="V3" s="14"/>
      <c r="W3" s="7"/>
      <c r="X3" s="14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63" ht="14.2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>
        <v>3</v>
      </c>
      <c r="Q4" s="13">
        <v>0</v>
      </c>
      <c r="R4" s="13">
        <v>0</v>
      </c>
      <c r="S4" s="13">
        <v>0</v>
      </c>
      <c r="T4" s="13">
        <v>1</v>
      </c>
      <c r="U4" s="11" t="s">
        <v>10</v>
      </c>
      <c r="V4" s="7"/>
      <c r="W4" s="7"/>
      <c r="X4" s="14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3" ht="19.5" customHeight="1" x14ac:dyDescent="0.2">
      <c r="A5" s="8"/>
      <c r="B5" s="251" t="s">
        <v>353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3"/>
      <c r="O5" s="10"/>
      <c r="P5" s="11">
        <v>4</v>
      </c>
      <c r="Q5" s="13">
        <v>0</v>
      </c>
      <c r="R5" s="13">
        <v>0</v>
      </c>
      <c r="S5" s="12">
        <f>1-T2</f>
        <v>0.89285714299999996</v>
      </c>
      <c r="T5" s="13">
        <v>0.10714285699999999</v>
      </c>
      <c r="U5" s="11" t="s">
        <v>11</v>
      </c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1:63" ht="14.25" customHeight="1" x14ac:dyDescent="0.2">
      <c r="A6" s="8"/>
      <c r="B6" s="254" t="s">
        <v>12</v>
      </c>
      <c r="C6" s="258" t="s">
        <v>13</v>
      </c>
      <c r="D6" s="256" t="s">
        <v>14</v>
      </c>
      <c r="E6" s="258" t="s">
        <v>15</v>
      </c>
      <c r="F6" s="258" t="s">
        <v>16</v>
      </c>
      <c r="G6" s="267" t="s">
        <v>17</v>
      </c>
      <c r="H6" s="265"/>
      <c r="I6" s="265"/>
      <c r="J6" s="245"/>
      <c r="K6" s="258" t="s">
        <v>18</v>
      </c>
      <c r="L6" s="267" t="s">
        <v>19</v>
      </c>
      <c r="M6" s="245"/>
      <c r="N6" s="259" t="s">
        <v>20</v>
      </c>
      <c r="O6" s="10"/>
      <c r="P6" s="7"/>
      <c r="Q6" s="268" t="s">
        <v>17</v>
      </c>
      <c r="R6" s="269"/>
      <c r="S6" s="269"/>
      <c r="T6" s="269"/>
      <c r="U6" s="270"/>
      <c r="V6" s="7"/>
      <c r="W6" s="7"/>
      <c r="X6" s="258" t="s">
        <v>21</v>
      </c>
      <c r="Y6" s="263" t="s">
        <v>22</v>
      </c>
      <c r="Z6" s="261" t="s">
        <v>23</v>
      </c>
      <c r="AA6" s="265"/>
      <c r="AB6" s="265"/>
      <c r="AC6" s="265"/>
      <c r="AD6" s="265"/>
      <c r="AE6" s="265"/>
      <c r="AF6" s="265"/>
      <c r="AG6" s="265"/>
      <c r="AH6" s="262"/>
      <c r="AI6" s="261" t="s">
        <v>24</v>
      </c>
      <c r="AJ6" s="265"/>
      <c r="AK6" s="265"/>
      <c r="AL6" s="262"/>
      <c r="AM6" s="261" t="s">
        <v>25</v>
      </c>
      <c r="AN6" s="262"/>
      <c r="AO6" s="261" t="s">
        <v>26</v>
      </c>
      <c r="AP6" s="262"/>
      <c r="AQ6" s="261" t="s">
        <v>27</v>
      </c>
      <c r="AR6" s="262"/>
      <c r="AS6" s="261" t="s">
        <v>28</v>
      </c>
      <c r="AT6" s="262"/>
      <c r="AU6" s="261" t="s">
        <v>29</v>
      </c>
      <c r="AV6" s="262"/>
      <c r="AW6" s="261" t="s">
        <v>30</v>
      </c>
      <c r="AX6" s="262"/>
      <c r="AY6" s="261" t="s">
        <v>31</v>
      </c>
      <c r="AZ6" s="262"/>
      <c r="BA6" s="261" t="s">
        <v>32</v>
      </c>
      <c r="BB6" s="262"/>
      <c r="BC6" s="261" t="s">
        <v>33</v>
      </c>
      <c r="BD6" s="262"/>
      <c r="BE6" s="261" t="s">
        <v>34</v>
      </c>
      <c r="BF6" s="262"/>
      <c r="BG6" s="261" t="s">
        <v>35</v>
      </c>
      <c r="BH6" s="262"/>
      <c r="BI6" s="261" t="s">
        <v>36</v>
      </c>
      <c r="BJ6" s="262"/>
      <c r="BK6" s="7"/>
    </row>
    <row r="7" spans="1:63" ht="60.75" customHeight="1" x14ac:dyDescent="0.2">
      <c r="A7" s="8"/>
      <c r="B7" s="255"/>
      <c r="C7" s="257"/>
      <c r="D7" s="257"/>
      <c r="E7" s="257"/>
      <c r="F7" s="266"/>
      <c r="G7" s="15" t="s">
        <v>1</v>
      </c>
      <c r="H7" s="15" t="s">
        <v>2</v>
      </c>
      <c r="I7" s="15" t="s">
        <v>3</v>
      </c>
      <c r="J7" s="15" t="s">
        <v>4</v>
      </c>
      <c r="K7" s="257"/>
      <c r="L7" s="15" t="s">
        <v>37</v>
      </c>
      <c r="M7" s="15" t="s">
        <v>38</v>
      </c>
      <c r="N7" s="260"/>
      <c r="O7" s="10"/>
      <c r="P7" s="7"/>
      <c r="Q7" s="15" t="s">
        <v>39</v>
      </c>
      <c r="R7" s="15" t="s">
        <v>40</v>
      </c>
      <c r="S7" s="15" t="s">
        <v>41</v>
      </c>
      <c r="T7" s="15" t="s">
        <v>42</v>
      </c>
      <c r="U7" s="15" t="s">
        <v>43</v>
      </c>
      <c r="V7" s="7"/>
      <c r="W7" s="7"/>
      <c r="X7" s="257"/>
      <c r="Y7" s="264"/>
      <c r="Z7" s="16" t="s">
        <v>44</v>
      </c>
      <c r="AA7" s="17" t="s">
        <v>45</v>
      </c>
      <c r="AB7" s="17" t="s">
        <v>46</v>
      </c>
      <c r="AC7" s="17" t="s">
        <v>47</v>
      </c>
      <c r="AD7" s="17" t="s">
        <v>48</v>
      </c>
      <c r="AE7" s="17" t="s">
        <v>49</v>
      </c>
      <c r="AF7" s="17" t="s">
        <v>50</v>
      </c>
      <c r="AG7" s="17" t="s">
        <v>51</v>
      </c>
      <c r="AH7" s="18" t="s">
        <v>52</v>
      </c>
      <c r="AI7" s="16" t="s">
        <v>53</v>
      </c>
      <c r="AJ7" s="17" t="s">
        <v>54</v>
      </c>
      <c r="AK7" s="17" t="s">
        <v>55</v>
      </c>
      <c r="AL7" s="18" t="s">
        <v>56</v>
      </c>
      <c r="AM7" s="16" t="s">
        <v>57</v>
      </c>
      <c r="AN7" s="18" t="s">
        <v>58</v>
      </c>
      <c r="AO7" s="16" t="s">
        <v>57</v>
      </c>
      <c r="AP7" s="18" t="s">
        <v>58</v>
      </c>
      <c r="AQ7" s="16" t="s">
        <v>57</v>
      </c>
      <c r="AR7" s="18" t="s">
        <v>58</v>
      </c>
      <c r="AS7" s="16" t="s">
        <v>57</v>
      </c>
      <c r="AT7" s="18" t="s">
        <v>58</v>
      </c>
      <c r="AU7" s="16" t="s">
        <v>57</v>
      </c>
      <c r="AV7" s="18" t="s">
        <v>58</v>
      </c>
      <c r="AW7" s="16" t="s">
        <v>57</v>
      </c>
      <c r="AX7" s="18" t="s">
        <v>58</v>
      </c>
      <c r="AY7" s="16" t="s">
        <v>57</v>
      </c>
      <c r="AZ7" s="18" t="s">
        <v>58</v>
      </c>
      <c r="BA7" s="16" t="s">
        <v>57</v>
      </c>
      <c r="BB7" s="18" t="s">
        <v>58</v>
      </c>
      <c r="BC7" s="16" t="s">
        <v>57</v>
      </c>
      <c r="BD7" s="18" t="s">
        <v>58</v>
      </c>
      <c r="BE7" s="16" t="s">
        <v>57</v>
      </c>
      <c r="BF7" s="18" t="s">
        <v>58</v>
      </c>
      <c r="BG7" s="16" t="s">
        <v>57</v>
      </c>
      <c r="BH7" s="18" t="s">
        <v>58</v>
      </c>
      <c r="BI7" s="16" t="s">
        <v>57</v>
      </c>
      <c r="BJ7" s="18" t="s">
        <v>58</v>
      </c>
      <c r="BK7" s="19"/>
    </row>
    <row r="8" spans="1:63" ht="19.5" customHeight="1" x14ac:dyDescent="0.2">
      <c r="A8" s="8"/>
      <c r="B8" s="244" t="s">
        <v>59</v>
      </c>
      <c r="C8" s="245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10"/>
      <c r="P8" s="7"/>
      <c r="Q8" s="22" t="s">
        <v>59</v>
      </c>
      <c r="R8" s="22"/>
      <c r="S8" s="21"/>
      <c r="T8" s="21"/>
      <c r="U8" s="21"/>
      <c r="V8" s="7"/>
      <c r="W8" s="7"/>
      <c r="X8" s="23" t="s">
        <v>59</v>
      </c>
      <c r="Y8" s="24"/>
      <c r="Z8" s="25"/>
      <c r="AA8" s="26"/>
      <c r="AB8" s="26"/>
      <c r="AC8" s="26"/>
      <c r="AD8" s="26"/>
      <c r="AE8" s="26"/>
      <c r="AF8" s="26"/>
      <c r="AG8" s="26"/>
      <c r="AH8" s="27"/>
      <c r="AI8" s="25"/>
      <c r="AJ8" s="26"/>
      <c r="AK8" s="28"/>
      <c r="AL8" s="27"/>
      <c r="AM8" s="29"/>
      <c r="AN8" s="30"/>
      <c r="AO8" s="31"/>
      <c r="AP8" s="30"/>
      <c r="AQ8" s="31"/>
      <c r="AR8" s="30"/>
      <c r="AS8" s="31"/>
      <c r="AT8" s="30"/>
      <c r="AU8" s="31"/>
      <c r="AV8" s="30"/>
      <c r="AW8" s="31"/>
      <c r="AX8" s="30"/>
      <c r="AY8" s="31"/>
      <c r="AZ8" s="30"/>
      <c r="BA8" s="31"/>
      <c r="BB8" s="30"/>
      <c r="BC8" s="31"/>
      <c r="BD8" s="30"/>
      <c r="BE8" s="31"/>
      <c r="BF8" s="30"/>
      <c r="BG8" s="31"/>
      <c r="BH8" s="30"/>
      <c r="BI8" s="32"/>
      <c r="BJ8" s="33"/>
      <c r="BK8" s="34"/>
    </row>
    <row r="9" spans="1:63" ht="19.5" customHeight="1" x14ac:dyDescent="0.2">
      <c r="A9" s="8"/>
      <c r="B9" s="35" t="s">
        <v>60</v>
      </c>
      <c r="C9" s="227" t="s">
        <v>354</v>
      </c>
      <c r="D9" s="37">
        <f>500000*1.12</f>
        <v>560000</v>
      </c>
      <c r="E9" s="38" t="s">
        <v>61</v>
      </c>
      <c r="F9" s="38" t="s">
        <v>62</v>
      </c>
      <c r="G9" s="39">
        <f t="shared" ref="G9:G21" si="0">VLOOKUP($P9,$P$2:$T$5,2,FALSE)</f>
        <v>0.89285714299999996</v>
      </c>
      <c r="H9" s="39">
        <f t="shared" ref="H9:H21" si="1">VLOOKUP($P9,$P$2:$T$5,3,FALSE)</f>
        <v>0</v>
      </c>
      <c r="I9" s="39">
        <f t="shared" ref="I9:I21" si="2">VLOOKUP($P9,$P$2:$T$5,4,FALSE)</f>
        <v>0</v>
      </c>
      <c r="J9" s="39">
        <f t="shared" ref="J9:J21" si="3">VLOOKUP($P9,$P$2:$T$5,5,FALSE)</f>
        <v>0.10714285699999999</v>
      </c>
      <c r="K9" s="38" t="s">
        <v>63</v>
      </c>
      <c r="L9" s="40">
        <v>44616</v>
      </c>
      <c r="M9" s="40">
        <v>44976</v>
      </c>
      <c r="N9" s="38" t="s">
        <v>64</v>
      </c>
      <c r="O9" s="10"/>
      <c r="P9" s="7">
        <v>1</v>
      </c>
      <c r="Q9" s="41">
        <f t="shared" ref="Q9:T9" si="4">ROUND(G9*$D9,2)</f>
        <v>500000</v>
      </c>
      <c r="R9" s="41">
        <f t="shared" si="4"/>
        <v>0</v>
      </c>
      <c r="S9" s="41">
        <f t="shared" si="4"/>
        <v>0</v>
      </c>
      <c r="T9" s="41">
        <f t="shared" si="4"/>
        <v>60000</v>
      </c>
      <c r="U9" s="41">
        <f t="shared" ref="U9:U23" si="5">SUM(Q9:T9)</f>
        <v>560000</v>
      </c>
      <c r="V9" s="14">
        <f t="shared" ref="V9:V23" si="6">D9-U9</f>
        <v>0</v>
      </c>
      <c r="W9" s="7"/>
      <c r="X9" s="42" t="s">
        <v>65</v>
      </c>
      <c r="Y9" s="43" t="s">
        <v>66</v>
      </c>
      <c r="Z9" s="44"/>
      <c r="AA9" s="45"/>
      <c r="AB9" s="45"/>
      <c r="AC9" s="45"/>
      <c r="AD9" s="45"/>
      <c r="AE9" s="45"/>
      <c r="AF9" s="45"/>
      <c r="AG9" s="45"/>
      <c r="AH9" s="46"/>
      <c r="AI9" s="44"/>
      <c r="AJ9" s="45"/>
      <c r="AK9" s="47"/>
      <c r="AL9" s="46"/>
      <c r="AM9" s="48"/>
      <c r="AN9" s="49"/>
      <c r="AO9" s="50"/>
      <c r="AP9" s="49"/>
      <c r="AQ9" s="50"/>
      <c r="AR9" s="49"/>
      <c r="AS9" s="50"/>
      <c r="AT9" s="49"/>
      <c r="AU9" s="50"/>
      <c r="AV9" s="49"/>
      <c r="AW9" s="50"/>
      <c r="AX9" s="49"/>
      <c r="AY9" s="50"/>
      <c r="AZ9" s="49"/>
      <c r="BA9" s="50"/>
      <c r="BB9" s="49"/>
      <c r="BC9" s="50"/>
      <c r="BD9" s="49"/>
      <c r="BE9" s="50"/>
      <c r="BF9" s="49"/>
      <c r="BG9" s="50"/>
      <c r="BH9" s="49"/>
      <c r="BI9" s="50"/>
      <c r="BJ9" s="49"/>
      <c r="BK9" s="51"/>
    </row>
    <row r="10" spans="1:63" ht="19.5" customHeight="1" x14ac:dyDescent="0.2">
      <c r="A10" s="8"/>
      <c r="B10" s="35" t="s">
        <v>67</v>
      </c>
      <c r="C10" s="228" t="s">
        <v>68</v>
      </c>
      <c r="D10" s="37">
        <f>48000*1.12</f>
        <v>53760.000000000007</v>
      </c>
      <c r="E10" s="38" t="s">
        <v>69</v>
      </c>
      <c r="F10" s="38" t="s">
        <v>62</v>
      </c>
      <c r="G10" s="39">
        <f t="shared" si="0"/>
        <v>0.89285714299999996</v>
      </c>
      <c r="H10" s="39">
        <f t="shared" si="1"/>
        <v>0</v>
      </c>
      <c r="I10" s="39">
        <f t="shared" si="2"/>
        <v>0</v>
      </c>
      <c r="J10" s="39">
        <f t="shared" si="3"/>
        <v>0.10714285699999999</v>
      </c>
      <c r="K10" s="38" t="s">
        <v>63</v>
      </c>
      <c r="L10" s="52">
        <v>44409</v>
      </c>
      <c r="M10" s="52">
        <v>44621</v>
      </c>
      <c r="N10" s="53" t="s">
        <v>70</v>
      </c>
      <c r="O10" s="10"/>
      <c r="P10" s="7">
        <v>1</v>
      </c>
      <c r="Q10" s="41">
        <f t="shared" ref="Q10:T10" si="7">ROUND(G10*$D10,2)</f>
        <v>48000</v>
      </c>
      <c r="R10" s="41">
        <f t="shared" si="7"/>
        <v>0</v>
      </c>
      <c r="S10" s="41">
        <f t="shared" si="7"/>
        <v>0</v>
      </c>
      <c r="T10" s="41">
        <f t="shared" si="7"/>
        <v>5760</v>
      </c>
      <c r="U10" s="41">
        <f t="shared" si="5"/>
        <v>53760</v>
      </c>
      <c r="V10" s="14">
        <f t="shared" si="6"/>
        <v>0</v>
      </c>
      <c r="W10" s="7"/>
      <c r="X10" s="42" t="s">
        <v>71</v>
      </c>
      <c r="Y10" s="43" t="s">
        <v>72</v>
      </c>
      <c r="Z10" s="54" t="s">
        <v>73</v>
      </c>
      <c r="AA10" s="53" t="s">
        <v>73</v>
      </c>
      <c r="AB10" s="53" t="s">
        <v>73</v>
      </c>
      <c r="AC10" s="55">
        <v>44432</v>
      </c>
      <c r="AD10" s="55">
        <v>44456</v>
      </c>
      <c r="AE10" s="55">
        <v>44483</v>
      </c>
      <c r="AF10" s="55">
        <v>44544</v>
      </c>
      <c r="AG10" s="53" t="s">
        <v>73</v>
      </c>
      <c r="AH10" s="56" t="s">
        <v>73</v>
      </c>
      <c r="AI10" s="57">
        <v>44551</v>
      </c>
      <c r="AJ10" s="45">
        <f>AI10+120</f>
        <v>44671</v>
      </c>
      <c r="AK10" s="58">
        <v>53520.83</v>
      </c>
      <c r="AL10" s="56" t="s">
        <v>74</v>
      </c>
      <c r="AM10" s="48"/>
      <c r="AN10" s="49"/>
      <c r="AO10" s="50"/>
      <c r="AP10" s="49"/>
      <c r="AQ10" s="50"/>
      <c r="AR10" s="49"/>
      <c r="AS10" s="50"/>
      <c r="AT10" s="49"/>
      <c r="AU10" s="50"/>
      <c r="AV10" s="49"/>
      <c r="AW10" s="50"/>
      <c r="AX10" s="49"/>
      <c r="AY10" s="50"/>
      <c r="AZ10" s="49"/>
      <c r="BA10" s="50"/>
      <c r="BB10" s="49"/>
      <c r="BC10" s="50"/>
      <c r="BD10" s="49"/>
      <c r="BE10" s="50"/>
      <c r="BF10" s="49"/>
      <c r="BG10" s="50"/>
      <c r="BH10" s="49"/>
      <c r="BI10" s="50"/>
      <c r="BJ10" s="49"/>
      <c r="BK10" s="51"/>
    </row>
    <row r="11" spans="1:63" ht="19.5" customHeight="1" x14ac:dyDescent="0.2">
      <c r="A11" s="8"/>
      <c r="B11" s="35" t="s">
        <v>75</v>
      </c>
      <c r="C11" s="228" t="s">
        <v>76</v>
      </c>
      <c r="D11" s="37">
        <f>200000*1.12</f>
        <v>224000.00000000003</v>
      </c>
      <c r="E11" s="38" t="s">
        <v>77</v>
      </c>
      <c r="F11" s="38" t="s">
        <v>62</v>
      </c>
      <c r="G11" s="39">
        <f t="shared" si="0"/>
        <v>0.89285714299999996</v>
      </c>
      <c r="H11" s="39">
        <f t="shared" si="1"/>
        <v>0</v>
      </c>
      <c r="I11" s="39">
        <f t="shared" si="2"/>
        <v>0</v>
      </c>
      <c r="J11" s="39">
        <f t="shared" si="3"/>
        <v>0.10714285699999999</v>
      </c>
      <c r="K11" s="38" t="s">
        <v>63</v>
      </c>
      <c r="L11" s="52">
        <v>44643</v>
      </c>
      <c r="M11" s="52">
        <v>44984</v>
      </c>
      <c r="N11" s="38" t="s">
        <v>64</v>
      </c>
      <c r="O11" s="10"/>
      <c r="P11" s="7">
        <v>1</v>
      </c>
      <c r="Q11" s="41">
        <f t="shared" ref="Q11:T11" si="8">ROUND(G11*$D11,2)</f>
        <v>200000</v>
      </c>
      <c r="R11" s="41">
        <f t="shared" si="8"/>
        <v>0</v>
      </c>
      <c r="S11" s="41">
        <f t="shared" si="8"/>
        <v>0</v>
      </c>
      <c r="T11" s="41">
        <f t="shared" si="8"/>
        <v>24000</v>
      </c>
      <c r="U11" s="41">
        <f t="shared" si="5"/>
        <v>224000</v>
      </c>
      <c r="V11" s="14">
        <f t="shared" si="6"/>
        <v>0</v>
      </c>
      <c r="W11" s="41"/>
      <c r="X11" s="42" t="s">
        <v>65</v>
      </c>
      <c r="Y11" s="43"/>
      <c r="Z11" s="44"/>
      <c r="AA11" s="45"/>
      <c r="AB11" s="45"/>
      <c r="AC11" s="45"/>
      <c r="AD11" s="45"/>
      <c r="AE11" s="45"/>
      <c r="AF11" s="45"/>
      <c r="AG11" s="45"/>
      <c r="AH11" s="46"/>
      <c r="AI11" s="44"/>
      <c r="AJ11" s="45"/>
      <c r="AK11" s="47"/>
      <c r="AL11" s="46"/>
      <c r="AM11" s="48"/>
      <c r="AN11" s="49"/>
      <c r="AO11" s="50"/>
      <c r="AP11" s="49"/>
      <c r="AQ11" s="50"/>
      <c r="AR11" s="49"/>
      <c r="AS11" s="50"/>
      <c r="AT11" s="49"/>
      <c r="AU11" s="50"/>
      <c r="AV11" s="49"/>
      <c r="AW11" s="50"/>
      <c r="AX11" s="49"/>
      <c r="AY11" s="50"/>
      <c r="AZ11" s="49"/>
      <c r="BA11" s="50"/>
      <c r="BB11" s="49"/>
      <c r="BC11" s="50"/>
      <c r="BD11" s="49"/>
      <c r="BE11" s="50"/>
      <c r="BF11" s="49"/>
      <c r="BG11" s="50"/>
      <c r="BH11" s="49"/>
      <c r="BI11" s="50"/>
      <c r="BJ11" s="49"/>
      <c r="BK11" s="51"/>
    </row>
    <row r="12" spans="1:63" ht="19.5" hidden="1" customHeight="1" x14ac:dyDescent="0.2">
      <c r="A12" s="8"/>
      <c r="B12" s="35" t="s">
        <v>78</v>
      </c>
      <c r="C12" s="228" t="s">
        <v>79</v>
      </c>
      <c r="D12" s="37">
        <v>16000</v>
      </c>
      <c r="E12" s="38" t="s">
        <v>69</v>
      </c>
      <c r="F12" s="38" t="s">
        <v>80</v>
      </c>
      <c r="G12" s="39">
        <f t="shared" si="0"/>
        <v>0.89285714299999996</v>
      </c>
      <c r="H12" s="39">
        <f t="shared" si="1"/>
        <v>0</v>
      </c>
      <c r="I12" s="39">
        <f t="shared" si="2"/>
        <v>0</v>
      </c>
      <c r="J12" s="39">
        <f t="shared" si="3"/>
        <v>0.10714285699999999</v>
      </c>
      <c r="K12" s="38" t="s">
        <v>63</v>
      </c>
      <c r="L12" s="52">
        <v>44484</v>
      </c>
      <c r="M12" s="52">
        <v>44586</v>
      </c>
      <c r="N12" s="53" t="s">
        <v>81</v>
      </c>
      <c r="O12" s="10"/>
      <c r="P12" s="7">
        <v>1</v>
      </c>
      <c r="Q12" s="41">
        <f t="shared" ref="Q12:T12" si="9">ROUND(G12*$D12,2)</f>
        <v>14285.71</v>
      </c>
      <c r="R12" s="41">
        <f t="shared" si="9"/>
        <v>0</v>
      </c>
      <c r="S12" s="41">
        <f t="shared" si="9"/>
        <v>0</v>
      </c>
      <c r="T12" s="41">
        <f t="shared" si="9"/>
        <v>1714.29</v>
      </c>
      <c r="U12" s="41">
        <f t="shared" si="5"/>
        <v>16000</v>
      </c>
      <c r="V12" s="14">
        <f t="shared" si="6"/>
        <v>0</v>
      </c>
      <c r="W12" s="41"/>
      <c r="X12" s="42" t="s">
        <v>71</v>
      </c>
      <c r="Y12" s="43" t="s">
        <v>82</v>
      </c>
      <c r="Z12" s="44"/>
      <c r="AA12" s="45"/>
      <c r="AB12" s="45"/>
      <c r="AC12" s="45"/>
      <c r="AD12" s="45"/>
      <c r="AE12" s="45"/>
      <c r="AF12" s="45"/>
      <c r="AG12" s="45"/>
      <c r="AH12" s="46"/>
      <c r="AI12" s="44"/>
      <c r="AJ12" s="45"/>
      <c r="AK12" s="47"/>
      <c r="AL12" s="46"/>
      <c r="AM12" s="48"/>
      <c r="AN12" s="49"/>
      <c r="AO12" s="50"/>
      <c r="AP12" s="49"/>
      <c r="AQ12" s="50"/>
      <c r="AR12" s="49"/>
      <c r="AS12" s="50"/>
      <c r="AT12" s="49"/>
      <c r="AU12" s="50"/>
      <c r="AV12" s="49"/>
      <c r="AW12" s="50"/>
      <c r="AX12" s="49"/>
      <c r="AY12" s="50"/>
      <c r="AZ12" s="49"/>
      <c r="BA12" s="50"/>
      <c r="BB12" s="49"/>
      <c r="BC12" s="50"/>
      <c r="BD12" s="49"/>
      <c r="BE12" s="50"/>
      <c r="BF12" s="49"/>
      <c r="BG12" s="50"/>
      <c r="BH12" s="49"/>
      <c r="BI12" s="50"/>
      <c r="BJ12" s="49"/>
      <c r="BK12" s="51"/>
    </row>
    <row r="13" spans="1:63" ht="19.5" hidden="1" customHeight="1" x14ac:dyDescent="0.2">
      <c r="A13" s="59"/>
      <c r="B13" s="35" t="s">
        <v>83</v>
      </c>
      <c r="C13" s="228" t="s">
        <v>84</v>
      </c>
      <c r="D13" s="37"/>
      <c r="E13" s="38" t="s">
        <v>69</v>
      </c>
      <c r="F13" s="38" t="s">
        <v>80</v>
      </c>
      <c r="G13" s="39">
        <f t="shared" si="0"/>
        <v>0.89285714299999996</v>
      </c>
      <c r="H13" s="39">
        <f t="shared" si="1"/>
        <v>0</v>
      </c>
      <c r="I13" s="39">
        <f t="shared" si="2"/>
        <v>0</v>
      </c>
      <c r="J13" s="39">
        <f t="shared" si="3"/>
        <v>0.10714285699999999</v>
      </c>
      <c r="K13" s="38" t="s">
        <v>63</v>
      </c>
      <c r="L13" s="52">
        <v>44531</v>
      </c>
      <c r="M13" s="52">
        <v>44592</v>
      </c>
      <c r="N13" s="38" t="s">
        <v>81</v>
      </c>
      <c r="O13" s="10"/>
      <c r="P13" s="7">
        <v>1</v>
      </c>
      <c r="Q13" s="41">
        <f t="shared" ref="Q13:T13" si="10">ROUND(G13*$D13,2)</f>
        <v>0</v>
      </c>
      <c r="R13" s="41">
        <f t="shared" si="10"/>
        <v>0</v>
      </c>
      <c r="S13" s="41">
        <f t="shared" si="10"/>
        <v>0</v>
      </c>
      <c r="T13" s="41">
        <f t="shared" si="10"/>
        <v>0</v>
      </c>
      <c r="U13" s="41">
        <f t="shared" si="5"/>
        <v>0</v>
      </c>
      <c r="V13" s="14">
        <f t="shared" si="6"/>
        <v>0</v>
      </c>
      <c r="W13" s="41"/>
      <c r="X13" s="42" t="s">
        <v>71</v>
      </c>
      <c r="Y13" s="43" t="s">
        <v>85</v>
      </c>
      <c r="Z13" s="44"/>
      <c r="AA13" s="45"/>
      <c r="AB13" s="45"/>
      <c r="AC13" s="45"/>
      <c r="AD13" s="45"/>
      <c r="AE13" s="45"/>
      <c r="AF13" s="45"/>
      <c r="AG13" s="45"/>
      <c r="AH13" s="46"/>
      <c r="AI13" s="44"/>
      <c r="AJ13" s="45"/>
      <c r="AK13" s="47"/>
      <c r="AL13" s="46"/>
      <c r="AM13" s="48"/>
      <c r="AN13" s="49"/>
      <c r="AO13" s="50"/>
      <c r="AP13" s="49"/>
      <c r="AQ13" s="50"/>
      <c r="AR13" s="49"/>
      <c r="AS13" s="50"/>
      <c r="AT13" s="49"/>
      <c r="AU13" s="50"/>
      <c r="AV13" s="49"/>
      <c r="AW13" s="50"/>
      <c r="AX13" s="49"/>
      <c r="AY13" s="50"/>
      <c r="AZ13" s="49"/>
      <c r="BA13" s="50"/>
      <c r="BB13" s="49"/>
      <c r="BC13" s="50"/>
      <c r="BD13" s="49"/>
      <c r="BE13" s="50"/>
      <c r="BF13" s="49"/>
      <c r="BG13" s="50"/>
      <c r="BH13" s="49"/>
      <c r="BI13" s="50"/>
      <c r="BJ13" s="49"/>
      <c r="BK13" s="51"/>
    </row>
    <row r="14" spans="1:63" ht="19.5" customHeight="1" x14ac:dyDescent="0.2">
      <c r="A14" s="8"/>
      <c r="B14" s="35" t="s">
        <v>86</v>
      </c>
      <c r="C14" s="228" t="s">
        <v>87</v>
      </c>
      <c r="D14" s="37">
        <f>(240000*1.12)-49200-85000-30000</f>
        <v>104600</v>
      </c>
      <c r="E14" s="38" t="s">
        <v>77</v>
      </c>
      <c r="F14" s="38" t="s">
        <v>62</v>
      </c>
      <c r="G14" s="39">
        <f t="shared" si="0"/>
        <v>0.89285714299999996</v>
      </c>
      <c r="H14" s="39">
        <f t="shared" si="1"/>
        <v>0</v>
      </c>
      <c r="I14" s="39">
        <f t="shared" si="2"/>
        <v>0</v>
      </c>
      <c r="J14" s="39">
        <f t="shared" si="3"/>
        <v>0.10714285699999999</v>
      </c>
      <c r="K14" s="38" t="s">
        <v>63</v>
      </c>
      <c r="L14" s="40">
        <v>44588</v>
      </c>
      <c r="M14" s="40">
        <v>44858</v>
      </c>
      <c r="N14" s="38" t="s">
        <v>64</v>
      </c>
      <c r="O14" s="10"/>
      <c r="P14" s="7">
        <v>1</v>
      </c>
      <c r="Q14" s="41">
        <f t="shared" ref="Q14:T14" si="11">ROUND(G14*$D14,2)</f>
        <v>93392.86</v>
      </c>
      <c r="R14" s="41">
        <f t="shared" si="11"/>
        <v>0</v>
      </c>
      <c r="S14" s="41">
        <f t="shared" si="11"/>
        <v>0</v>
      </c>
      <c r="T14" s="41">
        <f t="shared" si="11"/>
        <v>11207.14</v>
      </c>
      <c r="U14" s="41">
        <f t="shared" si="5"/>
        <v>104600</v>
      </c>
      <c r="V14" s="14">
        <f t="shared" si="6"/>
        <v>0</v>
      </c>
      <c r="W14" s="7"/>
      <c r="X14" s="42" t="s">
        <v>71</v>
      </c>
      <c r="Y14" s="43" t="s">
        <v>88</v>
      </c>
      <c r="Z14" s="44"/>
      <c r="AA14" s="45"/>
      <c r="AB14" s="45"/>
      <c r="AC14" s="45"/>
      <c r="AD14" s="45"/>
      <c r="AE14" s="45"/>
      <c r="AF14" s="45"/>
      <c r="AG14" s="45"/>
      <c r="AH14" s="46"/>
      <c r="AI14" s="44"/>
      <c r="AJ14" s="45"/>
      <c r="AK14" s="47"/>
      <c r="AL14" s="46"/>
      <c r="AM14" s="48"/>
      <c r="AN14" s="49"/>
      <c r="AO14" s="50"/>
      <c r="AP14" s="49"/>
      <c r="AQ14" s="50"/>
      <c r="AR14" s="49"/>
      <c r="AS14" s="50"/>
      <c r="AT14" s="49"/>
      <c r="AU14" s="50"/>
      <c r="AV14" s="49"/>
      <c r="AW14" s="50"/>
      <c r="AX14" s="49"/>
      <c r="AY14" s="50"/>
      <c r="AZ14" s="49"/>
      <c r="BA14" s="50"/>
      <c r="BB14" s="49"/>
      <c r="BC14" s="50"/>
      <c r="BD14" s="49"/>
      <c r="BE14" s="50"/>
      <c r="BF14" s="49"/>
      <c r="BG14" s="50"/>
      <c r="BH14" s="49"/>
      <c r="BI14" s="50"/>
      <c r="BJ14" s="49"/>
      <c r="BK14" s="51"/>
    </row>
    <row r="15" spans="1:63" ht="19.5" customHeight="1" x14ac:dyDescent="0.2">
      <c r="A15" s="8"/>
      <c r="B15" s="35" t="s">
        <v>89</v>
      </c>
      <c r="C15" s="229" t="s">
        <v>90</v>
      </c>
      <c r="D15" s="37">
        <f>20000*1.12</f>
        <v>22400.000000000004</v>
      </c>
      <c r="E15" s="38" t="s">
        <v>69</v>
      </c>
      <c r="F15" s="38" t="s">
        <v>80</v>
      </c>
      <c r="G15" s="39">
        <f t="shared" si="0"/>
        <v>0.89285714299999996</v>
      </c>
      <c r="H15" s="39">
        <f t="shared" si="1"/>
        <v>0</v>
      </c>
      <c r="I15" s="39">
        <f t="shared" si="2"/>
        <v>0</v>
      </c>
      <c r="J15" s="39">
        <f t="shared" si="3"/>
        <v>0.10714285699999999</v>
      </c>
      <c r="K15" s="38" t="s">
        <v>63</v>
      </c>
      <c r="L15" s="40">
        <v>44729</v>
      </c>
      <c r="M15" s="40">
        <v>44924</v>
      </c>
      <c r="N15" s="38" t="s">
        <v>64</v>
      </c>
      <c r="O15" s="10"/>
      <c r="P15" s="7">
        <v>1</v>
      </c>
      <c r="Q15" s="41">
        <f t="shared" ref="Q15:T15" si="12">ROUND(G15*$D15,2)</f>
        <v>20000</v>
      </c>
      <c r="R15" s="41">
        <f t="shared" si="12"/>
        <v>0</v>
      </c>
      <c r="S15" s="41">
        <f t="shared" si="12"/>
        <v>0</v>
      </c>
      <c r="T15" s="41">
        <f t="shared" si="12"/>
        <v>2400</v>
      </c>
      <c r="U15" s="41">
        <f t="shared" si="5"/>
        <v>22400</v>
      </c>
      <c r="V15" s="14">
        <f t="shared" si="6"/>
        <v>0</v>
      </c>
      <c r="W15" s="7"/>
      <c r="X15" s="42" t="s">
        <v>71</v>
      </c>
      <c r="Y15" s="43" t="s">
        <v>91</v>
      </c>
      <c r="Z15" s="44"/>
      <c r="AA15" s="45"/>
      <c r="AB15" s="45"/>
      <c r="AC15" s="45"/>
      <c r="AD15" s="45"/>
      <c r="AE15" s="45"/>
      <c r="AF15" s="45"/>
      <c r="AG15" s="45"/>
      <c r="AH15" s="46"/>
      <c r="AI15" s="44"/>
      <c r="AJ15" s="45"/>
      <c r="AK15" s="47"/>
      <c r="AL15" s="46"/>
      <c r="AM15" s="48"/>
      <c r="AN15" s="49"/>
      <c r="AO15" s="50"/>
      <c r="AP15" s="49"/>
      <c r="AQ15" s="50"/>
      <c r="AR15" s="49"/>
      <c r="AS15" s="50"/>
      <c r="AT15" s="49"/>
      <c r="AU15" s="50"/>
      <c r="AV15" s="49"/>
      <c r="AW15" s="50"/>
      <c r="AX15" s="49"/>
      <c r="AY15" s="50"/>
      <c r="AZ15" s="49"/>
      <c r="BA15" s="50"/>
      <c r="BB15" s="49"/>
      <c r="BC15" s="50"/>
      <c r="BD15" s="49"/>
      <c r="BE15" s="50"/>
      <c r="BF15" s="49"/>
      <c r="BG15" s="50"/>
      <c r="BH15" s="49"/>
      <c r="BI15" s="50"/>
      <c r="BJ15" s="49"/>
      <c r="BK15" s="51"/>
    </row>
    <row r="16" spans="1:63" ht="19.5" customHeight="1" x14ac:dyDescent="0.2">
      <c r="A16" s="8"/>
      <c r="B16" s="35" t="s">
        <v>92</v>
      </c>
      <c r="C16" s="228" t="s">
        <v>93</v>
      </c>
      <c r="D16" s="37">
        <v>6000</v>
      </c>
      <c r="E16" s="38" t="s">
        <v>69</v>
      </c>
      <c r="F16" s="38" t="s">
        <v>80</v>
      </c>
      <c r="G16" s="39">
        <f t="shared" si="0"/>
        <v>0.89285714299999996</v>
      </c>
      <c r="H16" s="39">
        <f t="shared" si="1"/>
        <v>0</v>
      </c>
      <c r="I16" s="39">
        <f t="shared" si="2"/>
        <v>0</v>
      </c>
      <c r="J16" s="39">
        <f t="shared" si="3"/>
        <v>0.10714285699999999</v>
      </c>
      <c r="K16" s="38" t="s">
        <v>63</v>
      </c>
      <c r="L16" s="52">
        <v>44522</v>
      </c>
      <c r="M16" s="52">
        <v>44645</v>
      </c>
      <c r="N16" s="38" t="s">
        <v>64</v>
      </c>
      <c r="O16" s="10"/>
      <c r="P16" s="7">
        <v>1</v>
      </c>
      <c r="Q16" s="41">
        <f t="shared" ref="Q16:T16" si="13">ROUND(G16*$D16,2)</f>
        <v>5357.14</v>
      </c>
      <c r="R16" s="41">
        <f t="shared" si="13"/>
        <v>0</v>
      </c>
      <c r="S16" s="41">
        <f t="shared" si="13"/>
        <v>0</v>
      </c>
      <c r="T16" s="41">
        <f t="shared" si="13"/>
        <v>642.86</v>
      </c>
      <c r="U16" s="41">
        <f t="shared" si="5"/>
        <v>6000</v>
      </c>
      <c r="V16" s="14">
        <f t="shared" si="6"/>
        <v>0</v>
      </c>
      <c r="W16" s="7"/>
      <c r="X16" s="42" t="s">
        <v>71</v>
      </c>
      <c r="Y16" s="43" t="s">
        <v>94</v>
      </c>
      <c r="Z16" s="44"/>
      <c r="AA16" s="45"/>
      <c r="AB16" s="45"/>
      <c r="AC16" s="45"/>
      <c r="AD16" s="45"/>
      <c r="AE16" s="45"/>
      <c r="AF16" s="45"/>
      <c r="AG16" s="45"/>
      <c r="AH16" s="46"/>
      <c r="AI16" s="44"/>
      <c r="AJ16" s="45"/>
      <c r="AK16" s="47"/>
      <c r="AL16" s="46"/>
      <c r="AM16" s="48"/>
      <c r="AN16" s="49"/>
      <c r="AO16" s="50"/>
      <c r="AP16" s="49"/>
      <c r="AQ16" s="50"/>
      <c r="AR16" s="49"/>
      <c r="AS16" s="50"/>
      <c r="AT16" s="49"/>
      <c r="AU16" s="50"/>
      <c r="AV16" s="49"/>
      <c r="AW16" s="50"/>
      <c r="AX16" s="49"/>
      <c r="AY16" s="50"/>
      <c r="AZ16" s="49"/>
      <c r="BA16" s="50"/>
      <c r="BB16" s="49"/>
      <c r="BC16" s="50"/>
      <c r="BD16" s="49"/>
      <c r="BE16" s="50"/>
      <c r="BF16" s="49"/>
      <c r="BG16" s="50"/>
      <c r="BH16" s="49"/>
      <c r="BI16" s="50"/>
      <c r="BJ16" s="49"/>
      <c r="BK16" s="51"/>
    </row>
    <row r="17" spans="1:63" ht="19.5" hidden="1" customHeight="1" x14ac:dyDescent="0.2">
      <c r="A17" s="59"/>
      <c r="B17" s="35" t="s">
        <v>95</v>
      </c>
      <c r="C17" s="228" t="s">
        <v>96</v>
      </c>
      <c r="D17" s="37"/>
      <c r="E17" s="38" t="s">
        <v>69</v>
      </c>
      <c r="F17" s="38" t="s">
        <v>80</v>
      </c>
      <c r="G17" s="39">
        <f t="shared" si="0"/>
        <v>0.89285714299999996</v>
      </c>
      <c r="H17" s="39">
        <f t="shared" si="1"/>
        <v>0</v>
      </c>
      <c r="I17" s="39">
        <f t="shared" si="2"/>
        <v>0</v>
      </c>
      <c r="J17" s="39">
        <f t="shared" si="3"/>
        <v>0.10714285699999999</v>
      </c>
      <c r="K17" s="38" t="s">
        <v>63</v>
      </c>
      <c r="L17" s="52">
        <v>44531</v>
      </c>
      <c r="M17" s="52">
        <v>44562</v>
      </c>
      <c r="N17" s="38" t="s">
        <v>81</v>
      </c>
      <c r="O17" s="10"/>
      <c r="P17" s="7">
        <v>1</v>
      </c>
      <c r="Q17" s="41">
        <f t="shared" ref="Q17:T17" si="14">ROUND(G17*$D17,2)</f>
        <v>0</v>
      </c>
      <c r="R17" s="41">
        <f t="shared" si="14"/>
        <v>0</v>
      </c>
      <c r="S17" s="41">
        <f t="shared" si="14"/>
        <v>0</v>
      </c>
      <c r="T17" s="41">
        <f t="shared" si="14"/>
        <v>0</v>
      </c>
      <c r="U17" s="41">
        <f t="shared" si="5"/>
        <v>0</v>
      </c>
      <c r="V17" s="14">
        <f t="shared" si="6"/>
        <v>0</v>
      </c>
      <c r="W17" s="7"/>
      <c r="X17" s="42" t="s">
        <v>71</v>
      </c>
      <c r="Y17" s="43" t="s">
        <v>97</v>
      </c>
      <c r="Z17" s="44"/>
      <c r="AA17" s="45"/>
      <c r="AB17" s="45"/>
      <c r="AC17" s="45"/>
      <c r="AD17" s="45"/>
      <c r="AE17" s="45"/>
      <c r="AF17" s="45"/>
      <c r="AG17" s="45"/>
      <c r="AH17" s="46"/>
      <c r="AI17" s="44"/>
      <c r="AJ17" s="45"/>
      <c r="AK17" s="47"/>
      <c r="AL17" s="46"/>
      <c r="AM17" s="48"/>
      <c r="AN17" s="49"/>
      <c r="AO17" s="50"/>
      <c r="AP17" s="49"/>
      <c r="AQ17" s="50"/>
      <c r="AR17" s="49"/>
      <c r="AS17" s="50"/>
      <c r="AT17" s="49"/>
      <c r="AU17" s="50"/>
      <c r="AV17" s="49"/>
      <c r="AW17" s="50"/>
      <c r="AX17" s="49"/>
      <c r="AY17" s="50"/>
      <c r="AZ17" s="49"/>
      <c r="BA17" s="50"/>
      <c r="BB17" s="49"/>
      <c r="BC17" s="50"/>
      <c r="BD17" s="49"/>
      <c r="BE17" s="50"/>
      <c r="BF17" s="49"/>
      <c r="BG17" s="50"/>
      <c r="BH17" s="49"/>
      <c r="BI17" s="50"/>
      <c r="BJ17" s="49"/>
      <c r="BK17" s="51"/>
    </row>
    <row r="18" spans="1:63" ht="19.5" customHeight="1" x14ac:dyDescent="0.2">
      <c r="A18" s="8"/>
      <c r="B18" s="35" t="s">
        <v>98</v>
      </c>
      <c r="C18" s="229" t="s">
        <v>99</v>
      </c>
      <c r="D18" s="37">
        <f>300*3*48</f>
        <v>43200</v>
      </c>
      <c r="E18" s="38" t="s">
        <v>69</v>
      </c>
      <c r="F18" s="38" t="s">
        <v>80</v>
      </c>
      <c r="G18" s="39">
        <f t="shared" si="0"/>
        <v>0.89285714299999996</v>
      </c>
      <c r="H18" s="39">
        <f t="shared" si="1"/>
        <v>0</v>
      </c>
      <c r="I18" s="39">
        <f t="shared" si="2"/>
        <v>0</v>
      </c>
      <c r="J18" s="39">
        <f t="shared" si="3"/>
        <v>0.10714285699999999</v>
      </c>
      <c r="K18" s="38" t="s">
        <v>63</v>
      </c>
      <c r="L18" s="52">
        <v>44680</v>
      </c>
      <c r="M18" s="40">
        <v>45808</v>
      </c>
      <c r="N18" s="38" t="s">
        <v>64</v>
      </c>
      <c r="O18" s="10"/>
      <c r="P18" s="7">
        <v>1</v>
      </c>
      <c r="Q18" s="41">
        <f t="shared" ref="Q18:T18" si="15">ROUND(G18*$D18,2)</f>
        <v>38571.43</v>
      </c>
      <c r="R18" s="41">
        <f t="shared" si="15"/>
        <v>0</v>
      </c>
      <c r="S18" s="41">
        <f t="shared" si="15"/>
        <v>0</v>
      </c>
      <c r="T18" s="41">
        <f t="shared" si="15"/>
        <v>4628.57</v>
      </c>
      <c r="U18" s="41">
        <f t="shared" si="5"/>
        <v>43200</v>
      </c>
      <c r="V18" s="14">
        <f t="shared" si="6"/>
        <v>0</v>
      </c>
      <c r="W18" s="7"/>
      <c r="X18" s="42" t="s">
        <v>71</v>
      </c>
      <c r="Y18" s="43" t="s">
        <v>100</v>
      </c>
      <c r="Z18" s="44"/>
      <c r="AA18" s="45"/>
      <c r="AB18" s="45"/>
      <c r="AC18" s="45"/>
      <c r="AD18" s="45"/>
      <c r="AE18" s="45"/>
      <c r="AF18" s="45"/>
      <c r="AG18" s="45"/>
      <c r="AH18" s="46"/>
      <c r="AI18" s="44"/>
      <c r="AJ18" s="45"/>
      <c r="AK18" s="47"/>
      <c r="AL18" s="46"/>
      <c r="AM18" s="48"/>
      <c r="AN18" s="49"/>
      <c r="AO18" s="50"/>
      <c r="AP18" s="49"/>
      <c r="AQ18" s="50"/>
      <c r="AR18" s="49"/>
      <c r="AS18" s="50"/>
      <c r="AT18" s="49"/>
      <c r="AU18" s="50"/>
      <c r="AV18" s="49"/>
      <c r="AW18" s="50"/>
      <c r="AX18" s="49"/>
      <c r="AY18" s="50"/>
      <c r="AZ18" s="49"/>
      <c r="BA18" s="50"/>
      <c r="BB18" s="49"/>
      <c r="BC18" s="50"/>
      <c r="BD18" s="49"/>
      <c r="BE18" s="50"/>
      <c r="BF18" s="49"/>
      <c r="BG18" s="50"/>
      <c r="BH18" s="49"/>
      <c r="BI18" s="50"/>
      <c r="BJ18" s="49"/>
      <c r="BK18" s="51"/>
    </row>
    <row r="19" spans="1:63" ht="19.5" customHeight="1" x14ac:dyDescent="0.2">
      <c r="A19" s="8"/>
      <c r="B19" s="35" t="s">
        <v>101</v>
      </c>
      <c r="C19" s="228" t="s">
        <v>102</v>
      </c>
      <c r="D19" s="37">
        <f>40000*1.12</f>
        <v>44800.000000000007</v>
      </c>
      <c r="E19" s="38" t="s">
        <v>69</v>
      </c>
      <c r="F19" s="38" t="s">
        <v>80</v>
      </c>
      <c r="G19" s="39">
        <f t="shared" si="0"/>
        <v>0.89285714299999996</v>
      </c>
      <c r="H19" s="39">
        <f t="shared" si="1"/>
        <v>0</v>
      </c>
      <c r="I19" s="39">
        <f t="shared" si="2"/>
        <v>0</v>
      </c>
      <c r="J19" s="39">
        <f t="shared" si="3"/>
        <v>0.10714285699999999</v>
      </c>
      <c r="K19" s="38" t="s">
        <v>63</v>
      </c>
      <c r="L19" s="40">
        <v>44397</v>
      </c>
      <c r="M19" s="40">
        <v>44627</v>
      </c>
      <c r="N19" s="38" t="s">
        <v>70</v>
      </c>
      <c r="O19" s="10"/>
      <c r="P19" s="7">
        <v>1</v>
      </c>
      <c r="Q19" s="41">
        <f t="shared" ref="Q19:T19" si="16">ROUND(G19*$D19,2)</f>
        <v>40000</v>
      </c>
      <c r="R19" s="41">
        <f t="shared" si="16"/>
        <v>0</v>
      </c>
      <c r="S19" s="41">
        <f t="shared" si="16"/>
        <v>0</v>
      </c>
      <c r="T19" s="41">
        <f t="shared" si="16"/>
        <v>4800</v>
      </c>
      <c r="U19" s="41">
        <f t="shared" si="5"/>
        <v>44800</v>
      </c>
      <c r="V19" s="14">
        <f t="shared" si="6"/>
        <v>0</v>
      </c>
      <c r="W19" s="7"/>
      <c r="X19" s="42" t="s">
        <v>71</v>
      </c>
      <c r="Y19" s="43" t="s">
        <v>104</v>
      </c>
      <c r="Z19" s="54" t="s">
        <v>73</v>
      </c>
      <c r="AA19" s="53" t="s">
        <v>73</v>
      </c>
      <c r="AB19" s="53" t="s">
        <v>73</v>
      </c>
      <c r="AC19" s="55">
        <v>44397</v>
      </c>
      <c r="AD19" s="55">
        <v>44428</v>
      </c>
      <c r="AE19" s="55">
        <v>44475</v>
      </c>
      <c r="AF19" s="55">
        <v>44518</v>
      </c>
      <c r="AG19" s="60">
        <v>44545</v>
      </c>
      <c r="AH19" s="61">
        <v>44546</v>
      </c>
      <c r="AI19" s="44">
        <v>44567</v>
      </c>
      <c r="AJ19" s="45">
        <f>+AI19+60</f>
        <v>44627</v>
      </c>
      <c r="AK19" s="47">
        <v>38076.76</v>
      </c>
      <c r="AL19" s="46" t="s">
        <v>352</v>
      </c>
      <c r="AM19" s="48"/>
      <c r="AN19" s="49"/>
      <c r="AO19" s="50"/>
      <c r="AP19" s="49"/>
      <c r="AQ19" s="50"/>
      <c r="AR19" s="49"/>
      <c r="AS19" s="50"/>
      <c r="AT19" s="49"/>
      <c r="AU19" s="50"/>
      <c r="AV19" s="49"/>
      <c r="AW19" s="50"/>
      <c r="AX19" s="49"/>
      <c r="AY19" s="50"/>
      <c r="AZ19" s="49"/>
      <c r="BA19" s="50"/>
      <c r="BB19" s="49"/>
      <c r="BC19" s="50"/>
      <c r="BD19" s="49"/>
      <c r="BE19" s="50"/>
      <c r="BF19" s="49"/>
      <c r="BG19" s="50"/>
      <c r="BH19" s="49"/>
      <c r="BI19" s="50"/>
      <c r="BJ19" s="49"/>
      <c r="BK19" s="51"/>
    </row>
    <row r="20" spans="1:63" ht="19.5" customHeight="1" x14ac:dyDescent="0.2">
      <c r="A20" s="8"/>
      <c r="B20" s="35" t="s">
        <v>105</v>
      </c>
      <c r="C20" s="228" t="s">
        <v>106</v>
      </c>
      <c r="D20" s="62">
        <v>1200</v>
      </c>
      <c r="E20" s="38" t="s">
        <v>69</v>
      </c>
      <c r="F20" s="38" t="s">
        <v>80</v>
      </c>
      <c r="G20" s="39">
        <f t="shared" si="0"/>
        <v>0.89285714299999996</v>
      </c>
      <c r="H20" s="39">
        <f t="shared" si="1"/>
        <v>0</v>
      </c>
      <c r="I20" s="39">
        <f t="shared" si="2"/>
        <v>0</v>
      </c>
      <c r="J20" s="39">
        <f t="shared" si="3"/>
        <v>0.10714285699999999</v>
      </c>
      <c r="K20" s="38" t="s">
        <v>63</v>
      </c>
      <c r="L20" s="40">
        <v>44735</v>
      </c>
      <c r="M20" s="40">
        <v>44875</v>
      </c>
      <c r="N20" s="38" t="s">
        <v>64</v>
      </c>
      <c r="O20" s="10"/>
      <c r="P20" s="7">
        <v>1</v>
      </c>
      <c r="Q20" s="41">
        <f t="shared" ref="Q20:T20" si="17">ROUND(G20*$D20,2)</f>
        <v>1071.43</v>
      </c>
      <c r="R20" s="41">
        <f t="shared" si="17"/>
        <v>0</v>
      </c>
      <c r="S20" s="41">
        <f t="shared" si="17"/>
        <v>0</v>
      </c>
      <c r="T20" s="41">
        <f t="shared" si="17"/>
        <v>128.57</v>
      </c>
      <c r="U20" s="41">
        <f t="shared" si="5"/>
        <v>1200</v>
      </c>
      <c r="V20" s="14">
        <f t="shared" si="6"/>
        <v>0</v>
      </c>
      <c r="W20" s="7"/>
      <c r="X20" s="42" t="s">
        <v>71</v>
      </c>
      <c r="Y20" s="43" t="s">
        <v>107</v>
      </c>
      <c r="Z20" s="44"/>
      <c r="AA20" s="45"/>
      <c r="AB20" s="45"/>
      <c r="AC20" s="45"/>
      <c r="AD20" s="45"/>
      <c r="AE20" s="45"/>
      <c r="AF20" s="45"/>
      <c r="AG20" s="45"/>
      <c r="AH20" s="46"/>
      <c r="AI20" s="44"/>
      <c r="AJ20" s="45"/>
      <c r="AK20" s="47"/>
      <c r="AL20" s="46"/>
      <c r="AM20" s="48"/>
      <c r="AN20" s="49"/>
      <c r="AO20" s="50"/>
      <c r="AP20" s="49"/>
      <c r="AQ20" s="50"/>
      <c r="AR20" s="49"/>
      <c r="AS20" s="50"/>
      <c r="AT20" s="49"/>
      <c r="AU20" s="50"/>
      <c r="AV20" s="49"/>
      <c r="AW20" s="50"/>
      <c r="AX20" s="49"/>
      <c r="AY20" s="50"/>
      <c r="AZ20" s="49"/>
      <c r="BA20" s="50"/>
      <c r="BB20" s="49"/>
      <c r="BC20" s="50"/>
      <c r="BD20" s="49"/>
      <c r="BE20" s="50"/>
      <c r="BF20" s="49"/>
      <c r="BG20" s="50"/>
      <c r="BH20" s="49"/>
      <c r="BI20" s="50"/>
      <c r="BJ20" s="49"/>
      <c r="BK20" s="51"/>
    </row>
    <row r="21" spans="1:63" ht="19.5" customHeight="1" x14ac:dyDescent="0.2">
      <c r="A21" s="8"/>
      <c r="B21" s="35" t="s">
        <v>108</v>
      </c>
      <c r="C21" s="228" t="s">
        <v>109</v>
      </c>
      <c r="D21" s="62">
        <f>200000*1.12</f>
        <v>224000.00000000003</v>
      </c>
      <c r="E21" s="38" t="s">
        <v>77</v>
      </c>
      <c r="F21" s="38" t="s">
        <v>62</v>
      </c>
      <c r="G21" s="39">
        <f t="shared" si="0"/>
        <v>0.89285714299999996</v>
      </c>
      <c r="H21" s="39">
        <f t="shared" si="1"/>
        <v>0</v>
      </c>
      <c r="I21" s="39">
        <f t="shared" si="2"/>
        <v>0</v>
      </c>
      <c r="J21" s="39">
        <f t="shared" si="3"/>
        <v>0.10714285699999999</v>
      </c>
      <c r="K21" s="38" t="s">
        <v>63</v>
      </c>
      <c r="L21" s="40">
        <v>44660</v>
      </c>
      <c r="M21" s="40">
        <v>45125</v>
      </c>
      <c r="N21" s="38" t="s">
        <v>64</v>
      </c>
      <c r="O21" s="10"/>
      <c r="P21" s="7">
        <v>1</v>
      </c>
      <c r="Q21" s="41">
        <f t="shared" ref="Q21:T21" si="18">ROUND(G21*$D21,2)</f>
        <v>200000</v>
      </c>
      <c r="R21" s="41">
        <f t="shared" si="18"/>
        <v>0</v>
      </c>
      <c r="S21" s="41">
        <f t="shared" si="18"/>
        <v>0</v>
      </c>
      <c r="T21" s="41">
        <f t="shared" si="18"/>
        <v>24000</v>
      </c>
      <c r="U21" s="41">
        <f t="shared" si="5"/>
        <v>224000</v>
      </c>
      <c r="V21" s="14">
        <f t="shared" si="6"/>
        <v>0</v>
      </c>
      <c r="W21" s="7"/>
      <c r="X21" s="42" t="s">
        <v>65</v>
      </c>
      <c r="Y21" s="43" t="s">
        <v>110</v>
      </c>
      <c r="Z21" s="44"/>
      <c r="AA21" s="45"/>
      <c r="AB21" s="45"/>
      <c r="AC21" s="45"/>
      <c r="AD21" s="45"/>
      <c r="AE21" s="45"/>
      <c r="AF21" s="45"/>
      <c r="AG21" s="45"/>
      <c r="AH21" s="46"/>
      <c r="AI21" s="44"/>
      <c r="AJ21" s="45"/>
      <c r="AK21" s="47"/>
      <c r="AL21" s="46"/>
      <c r="AM21" s="48"/>
      <c r="AN21" s="49"/>
      <c r="AO21" s="50"/>
      <c r="AP21" s="49"/>
      <c r="AQ21" s="50"/>
      <c r="AR21" s="49"/>
      <c r="AS21" s="50"/>
      <c r="AT21" s="49"/>
      <c r="AU21" s="50"/>
      <c r="AV21" s="49"/>
      <c r="AW21" s="50"/>
      <c r="AX21" s="49"/>
      <c r="AY21" s="50"/>
      <c r="AZ21" s="49"/>
      <c r="BA21" s="50"/>
      <c r="BB21" s="49"/>
      <c r="BC21" s="50"/>
      <c r="BD21" s="49"/>
      <c r="BE21" s="50"/>
      <c r="BF21" s="49"/>
      <c r="BG21" s="50"/>
      <c r="BH21" s="49"/>
      <c r="BI21" s="50"/>
      <c r="BJ21" s="49"/>
      <c r="BK21" s="51"/>
    </row>
    <row r="22" spans="1:63" ht="19.5" customHeight="1" x14ac:dyDescent="0.2">
      <c r="A22" s="8"/>
      <c r="B22" s="35"/>
      <c r="C22" s="228"/>
      <c r="D22" s="62"/>
      <c r="E22" s="38"/>
      <c r="F22" s="38"/>
      <c r="G22" s="39"/>
      <c r="H22" s="39"/>
      <c r="I22" s="39"/>
      <c r="J22" s="39"/>
      <c r="K22" s="38"/>
      <c r="L22" s="52"/>
      <c r="M22" s="52"/>
      <c r="N22" s="38"/>
      <c r="O22" s="10"/>
      <c r="P22" s="7">
        <v>1</v>
      </c>
      <c r="Q22" s="63">
        <f t="shared" ref="Q22:T22" si="19">ROUND(G22*$D22,2)</f>
        <v>0</v>
      </c>
      <c r="R22" s="63">
        <f t="shared" si="19"/>
        <v>0</v>
      </c>
      <c r="S22" s="41">
        <f t="shared" si="19"/>
        <v>0</v>
      </c>
      <c r="T22" s="63">
        <f t="shared" si="19"/>
        <v>0</v>
      </c>
      <c r="U22" s="41">
        <f t="shared" si="5"/>
        <v>0</v>
      </c>
      <c r="V22" s="14">
        <f t="shared" si="6"/>
        <v>0</v>
      </c>
      <c r="W22" s="7"/>
      <c r="X22" s="42" t="s">
        <v>71</v>
      </c>
      <c r="Y22" s="43"/>
      <c r="Z22" s="64"/>
      <c r="AA22" s="65"/>
      <c r="AB22" s="65"/>
      <c r="AC22" s="65"/>
      <c r="AD22" s="65"/>
      <c r="AE22" s="65"/>
      <c r="AF22" s="65"/>
      <c r="AG22" s="65"/>
      <c r="AH22" s="66"/>
      <c r="AI22" s="64"/>
      <c r="AJ22" s="65"/>
      <c r="AK22" s="67"/>
      <c r="AL22" s="66"/>
      <c r="AM22" s="68"/>
      <c r="AN22" s="69"/>
      <c r="AO22" s="70"/>
      <c r="AP22" s="69"/>
      <c r="AQ22" s="70"/>
      <c r="AR22" s="69"/>
      <c r="AS22" s="70"/>
      <c r="AT22" s="69"/>
      <c r="AU22" s="70"/>
      <c r="AV22" s="69"/>
      <c r="AW22" s="70"/>
      <c r="AX22" s="69"/>
      <c r="AY22" s="70"/>
      <c r="AZ22" s="69"/>
      <c r="BA22" s="70"/>
      <c r="BB22" s="69"/>
      <c r="BC22" s="70"/>
      <c r="BD22" s="69"/>
      <c r="BE22" s="70"/>
      <c r="BF22" s="69"/>
      <c r="BG22" s="70"/>
      <c r="BH22" s="69"/>
      <c r="BI22" s="70"/>
      <c r="BJ22" s="69"/>
      <c r="BK22" s="51"/>
    </row>
    <row r="23" spans="1:63" ht="19.5" customHeight="1" x14ac:dyDescent="0.2">
      <c r="A23" s="8"/>
      <c r="B23" s="246" t="s">
        <v>111</v>
      </c>
      <c r="C23" s="238"/>
      <c r="D23" s="71">
        <f>SUM(D9:D22)</f>
        <v>1299960</v>
      </c>
      <c r="E23" s="72"/>
      <c r="F23" s="72"/>
      <c r="G23" s="73"/>
      <c r="H23" s="73"/>
      <c r="I23" s="73"/>
      <c r="J23" s="73"/>
      <c r="K23" s="72"/>
      <c r="L23" s="74"/>
      <c r="M23" s="74"/>
      <c r="N23" s="72"/>
      <c r="O23" s="10"/>
      <c r="P23" s="7"/>
      <c r="Q23" s="63">
        <f t="shared" ref="Q23:T23" si="20">SUM(Q9:Q22)</f>
        <v>1160678.57</v>
      </c>
      <c r="R23" s="63">
        <f t="shared" si="20"/>
        <v>0</v>
      </c>
      <c r="S23" s="63">
        <f t="shared" si="20"/>
        <v>0</v>
      </c>
      <c r="T23" s="63">
        <f t="shared" si="20"/>
        <v>139281.43</v>
      </c>
      <c r="U23" s="63">
        <f t="shared" si="5"/>
        <v>1299960</v>
      </c>
      <c r="V23" s="14">
        <f t="shared" si="6"/>
        <v>0</v>
      </c>
      <c r="W23" s="7"/>
      <c r="X23" s="72"/>
      <c r="Y23" s="72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6"/>
      <c r="AL23" s="75"/>
      <c r="AM23" s="76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8"/>
    </row>
    <row r="24" spans="1:63" ht="19.5" customHeight="1" x14ac:dyDescent="0.2">
      <c r="A24" s="8"/>
      <c r="B24" s="79"/>
      <c r="C24" s="80"/>
      <c r="D24" s="81"/>
      <c r="E24" s="79"/>
      <c r="F24" s="79"/>
      <c r="G24" s="82"/>
      <c r="H24" s="82"/>
      <c r="I24" s="82"/>
      <c r="J24" s="82"/>
      <c r="K24" s="79"/>
      <c r="L24" s="83"/>
      <c r="M24" s="83"/>
      <c r="N24" s="79"/>
      <c r="O24" s="10"/>
      <c r="P24" s="7"/>
      <c r="Q24" s="84"/>
      <c r="R24" s="84"/>
      <c r="S24" s="84"/>
      <c r="T24" s="84"/>
      <c r="U24" s="7"/>
      <c r="V24" s="7"/>
      <c r="W24" s="7"/>
      <c r="X24" s="79"/>
      <c r="Y24" s="79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6"/>
      <c r="AL24" s="75"/>
      <c r="AM24" s="76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5"/>
    </row>
    <row r="25" spans="1:63" ht="19.5" customHeight="1" x14ac:dyDescent="0.2">
      <c r="A25" s="8"/>
      <c r="B25" s="247" t="s">
        <v>112</v>
      </c>
      <c r="C25" s="238"/>
      <c r="D25" s="85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10"/>
      <c r="P25" s="7"/>
      <c r="Q25" s="87" t="s">
        <v>112</v>
      </c>
      <c r="R25" s="87"/>
      <c r="S25" s="88"/>
      <c r="T25" s="88"/>
      <c r="U25" s="88"/>
      <c r="V25" s="7"/>
      <c r="W25" s="7"/>
      <c r="X25" s="86"/>
      <c r="Y25" s="8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8"/>
      <c r="AL25" s="89"/>
      <c r="AM25" s="90"/>
      <c r="AN25" s="33"/>
      <c r="AO25" s="32"/>
      <c r="AP25" s="33"/>
      <c r="AQ25" s="32"/>
      <c r="AR25" s="33"/>
      <c r="AS25" s="32"/>
      <c r="AT25" s="33"/>
      <c r="AU25" s="32"/>
      <c r="AV25" s="33"/>
      <c r="AW25" s="32"/>
      <c r="AX25" s="33"/>
      <c r="AY25" s="32"/>
      <c r="AZ25" s="33"/>
      <c r="BA25" s="32"/>
      <c r="BB25" s="33"/>
      <c r="BC25" s="32"/>
      <c r="BD25" s="33"/>
      <c r="BE25" s="32"/>
      <c r="BF25" s="33"/>
      <c r="BG25" s="32"/>
      <c r="BH25" s="33"/>
      <c r="BI25" s="32"/>
      <c r="BJ25" s="33"/>
      <c r="BK25" s="91"/>
    </row>
    <row r="26" spans="1:63" ht="39.75" customHeight="1" x14ac:dyDescent="0.2">
      <c r="A26" s="8"/>
      <c r="B26" s="35" t="s">
        <v>113</v>
      </c>
      <c r="C26" s="229" t="s">
        <v>114</v>
      </c>
      <c r="D26" s="62">
        <f>15188624.08*1.12</f>
        <v>17011258.969600003</v>
      </c>
      <c r="E26" s="38" t="s">
        <v>61</v>
      </c>
      <c r="F26" s="38" t="s">
        <v>62</v>
      </c>
      <c r="G26" s="39">
        <f t="shared" ref="G26:J26" si="21">Q26/$U26</f>
        <v>0.20438627770769871</v>
      </c>
      <c r="H26" s="39">
        <f t="shared" si="21"/>
        <v>0.68847086512844968</v>
      </c>
      <c r="I26" s="39">
        <f t="shared" si="21"/>
        <v>0</v>
      </c>
      <c r="J26" s="39">
        <f t="shared" si="21"/>
        <v>0.10714285716385165</v>
      </c>
      <c r="K26" s="38" t="s">
        <v>63</v>
      </c>
      <c r="L26" s="40">
        <v>44614</v>
      </c>
      <c r="M26" s="40">
        <v>45260</v>
      </c>
      <c r="N26" s="38" t="s">
        <v>64</v>
      </c>
      <c r="O26" s="10"/>
      <c r="P26" s="92" t="s">
        <v>115</v>
      </c>
      <c r="Q26" s="93">
        <f>7923764.7-3903629.3-543267.5</f>
        <v>3476867.9000000004</v>
      </c>
      <c r="R26" s="93">
        <f>7264859.38+3903629.3+543267.5</f>
        <v>11711756.18</v>
      </c>
      <c r="S26" s="93">
        <v>0</v>
      </c>
      <c r="T26" s="93">
        <v>1822634.89</v>
      </c>
      <c r="U26" s="93">
        <v>17011258.969999999</v>
      </c>
      <c r="V26" s="14">
        <f t="shared" ref="V26:V29" si="22">D26-U26</f>
        <v>-3.999955952167511E-4</v>
      </c>
      <c r="W26" s="7"/>
      <c r="X26" s="42" t="s">
        <v>116</v>
      </c>
      <c r="Y26" s="42" t="s">
        <v>117</v>
      </c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7"/>
      <c r="AL26" s="94"/>
      <c r="AM26" s="48"/>
      <c r="AN26" s="49"/>
      <c r="AO26" s="50"/>
      <c r="AP26" s="49"/>
      <c r="AQ26" s="50"/>
      <c r="AR26" s="49"/>
      <c r="AS26" s="50"/>
      <c r="AT26" s="49"/>
      <c r="AU26" s="50"/>
      <c r="AV26" s="49"/>
      <c r="AW26" s="50"/>
      <c r="AX26" s="49"/>
      <c r="AY26" s="50"/>
      <c r="AZ26" s="49"/>
      <c r="BA26" s="50"/>
      <c r="BB26" s="49"/>
      <c r="BC26" s="50"/>
      <c r="BD26" s="49"/>
      <c r="BE26" s="50"/>
      <c r="BF26" s="49"/>
      <c r="BG26" s="50"/>
      <c r="BH26" s="49"/>
      <c r="BI26" s="50"/>
      <c r="BJ26" s="49"/>
      <c r="BK26" s="51"/>
    </row>
    <row r="27" spans="1:63" ht="39.75" customHeight="1" x14ac:dyDescent="0.2">
      <c r="A27" s="8"/>
      <c r="B27" s="35" t="s">
        <v>118</v>
      </c>
      <c r="C27" s="228" t="s">
        <v>119</v>
      </c>
      <c r="D27" s="62">
        <f>8161308.42*1.12</f>
        <v>9140665.4304000009</v>
      </c>
      <c r="E27" s="38" t="s">
        <v>61</v>
      </c>
      <c r="F27" s="38" t="s">
        <v>62</v>
      </c>
      <c r="G27" s="39">
        <f t="shared" ref="G27:G29" si="23">VLOOKUP($P27,$P$2:$T$5,2,FALSE)</f>
        <v>0.89285714299999996</v>
      </c>
      <c r="H27" s="39">
        <f t="shared" ref="H27:H29" si="24">VLOOKUP($P27,$P$2:$T$5,3,FALSE)</f>
        <v>0</v>
      </c>
      <c r="I27" s="39">
        <f t="shared" ref="I27:I29" si="25">VLOOKUP($P27,$P$2:$T$5,4,FALSE)</f>
        <v>0</v>
      </c>
      <c r="J27" s="39">
        <f t="shared" ref="J27:J29" si="26">VLOOKUP($P27,$P$2:$T$5,5,FALSE)</f>
        <v>0.10714285699999999</v>
      </c>
      <c r="K27" s="38" t="s">
        <v>63</v>
      </c>
      <c r="L27" s="52">
        <v>44501</v>
      </c>
      <c r="M27" s="52">
        <v>45453</v>
      </c>
      <c r="N27" s="38" t="s">
        <v>64</v>
      </c>
      <c r="O27" s="10"/>
      <c r="P27" s="7">
        <v>1</v>
      </c>
      <c r="Q27" s="93">
        <f>4257679.12+3903629.3</f>
        <v>8161308.4199999999</v>
      </c>
      <c r="R27" s="93">
        <f>3903629.3-3903629.3</f>
        <v>0</v>
      </c>
      <c r="S27" s="93">
        <v>0</v>
      </c>
      <c r="T27" s="93">
        <v>979357.01</v>
      </c>
      <c r="U27" s="93">
        <v>9140665.4299999997</v>
      </c>
      <c r="V27" s="14">
        <f t="shared" si="22"/>
        <v>4.0000118315219879E-4</v>
      </c>
      <c r="W27" s="7"/>
      <c r="X27" s="42" t="s">
        <v>116</v>
      </c>
      <c r="Y27" s="42" t="s">
        <v>120</v>
      </c>
      <c r="Z27" s="45"/>
      <c r="AA27" s="45"/>
      <c r="AB27" s="45"/>
      <c r="AC27" s="55">
        <v>44504</v>
      </c>
      <c r="AD27" s="45"/>
      <c r="AE27" s="45"/>
      <c r="AF27" s="45"/>
      <c r="AG27" s="45"/>
      <c r="AH27" s="45"/>
      <c r="AI27" s="45"/>
      <c r="AJ27" s="45"/>
      <c r="AK27" s="47"/>
      <c r="AL27" s="94"/>
      <c r="AM27" s="48"/>
      <c r="AN27" s="49"/>
      <c r="AO27" s="50"/>
      <c r="AP27" s="49"/>
      <c r="AQ27" s="50"/>
      <c r="AR27" s="49"/>
      <c r="AS27" s="50"/>
      <c r="AT27" s="49"/>
      <c r="AU27" s="50"/>
      <c r="AV27" s="49"/>
      <c r="AW27" s="50"/>
      <c r="AX27" s="49"/>
      <c r="AY27" s="50"/>
      <c r="AZ27" s="49"/>
      <c r="BA27" s="50"/>
      <c r="BB27" s="49"/>
      <c r="BC27" s="50"/>
      <c r="BD27" s="49"/>
      <c r="BE27" s="50"/>
      <c r="BF27" s="49"/>
      <c r="BG27" s="50"/>
      <c r="BH27" s="49"/>
      <c r="BI27" s="50"/>
      <c r="BJ27" s="49"/>
      <c r="BK27" s="51"/>
    </row>
    <row r="28" spans="1:63" ht="39.75" hidden="1" customHeight="1" x14ac:dyDescent="0.2">
      <c r="A28" s="8"/>
      <c r="B28" s="35" t="s">
        <v>121</v>
      </c>
      <c r="C28" s="228" t="s">
        <v>122</v>
      </c>
      <c r="D28" s="62">
        <v>4126819.71</v>
      </c>
      <c r="E28" s="38" t="s">
        <v>61</v>
      </c>
      <c r="F28" s="38" t="s">
        <v>62</v>
      </c>
      <c r="G28" s="39">
        <f t="shared" si="23"/>
        <v>0.46579531350148357</v>
      </c>
      <c r="H28" s="39">
        <f t="shared" si="24"/>
        <v>0.4270618294985164</v>
      </c>
      <c r="I28" s="39">
        <f t="shared" si="25"/>
        <v>0</v>
      </c>
      <c r="J28" s="39">
        <f t="shared" si="26"/>
        <v>0.10714285699999999</v>
      </c>
      <c r="K28" s="38" t="s">
        <v>63</v>
      </c>
      <c r="L28" s="40">
        <v>45190</v>
      </c>
      <c r="M28" s="40">
        <v>46000</v>
      </c>
      <c r="N28" s="38" t="s">
        <v>64</v>
      </c>
      <c r="O28" s="10"/>
      <c r="P28" s="7">
        <v>2</v>
      </c>
      <c r="Q28" s="41">
        <f t="shared" ref="Q28:T28" si="27">ROUND(G28*$D28,2)</f>
        <v>1922253.28</v>
      </c>
      <c r="R28" s="41">
        <f t="shared" si="27"/>
        <v>1762407.18</v>
      </c>
      <c r="S28" s="41">
        <f t="shared" si="27"/>
        <v>0</v>
      </c>
      <c r="T28" s="41">
        <f t="shared" si="27"/>
        <v>442159.25</v>
      </c>
      <c r="U28" s="41">
        <f t="shared" ref="U28:U29" si="28">SUM(Q28:T28)</f>
        <v>4126819.71</v>
      </c>
      <c r="V28" s="14">
        <f t="shared" si="22"/>
        <v>0</v>
      </c>
      <c r="W28" s="7"/>
      <c r="X28" s="42" t="s">
        <v>116</v>
      </c>
      <c r="Y28" s="42" t="s">
        <v>123</v>
      </c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7"/>
      <c r="AL28" s="94"/>
      <c r="AM28" s="48"/>
      <c r="AN28" s="49"/>
      <c r="AO28" s="50"/>
      <c r="AP28" s="49"/>
      <c r="AQ28" s="50"/>
      <c r="AR28" s="49"/>
      <c r="AS28" s="50"/>
      <c r="AT28" s="49"/>
      <c r="AU28" s="50"/>
      <c r="AV28" s="49"/>
      <c r="AW28" s="50"/>
      <c r="AX28" s="49"/>
      <c r="AY28" s="50"/>
      <c r="AZ28" s="49"/>
      <c r="BA28" s="50"/>
      <c r="BB28" s="49"/>
      <c r="BC28" s="50"/>
      <c r="BD28" s="49"/>
      <c r="BE28" s="50"/>
      <c r="BF28" s="49"/>
      <c r="BG28" s="50"/>
      <c r="BH28" s="49"/>
      <c r="BI28" s="50"/>
      <c r="BJ28" s="49"/>
      <c r="BK28" s="51"/>
    </row>
    <row r="29" spans="1:63" ht="90.95" customHeight="1" x14ac:dyDescent="0.2">
      <c r="A29" s="8"/>
      <c r="B29" s="35" t="s">
        <v>124</v>
      </c>
      <c r="C29" s="228" t="s">
        <v>125</v>
      </c>
      <c r="D29" s="62">
        <f>(24993614.94+10222090.16)*1.12</f>
        <v>39441589.712000005</v>
      </c>
      <c r="E29" s="38" t="s">
        <v>61</v>
      </c>
      <c r="F29" s="38" t="s">
        <v>62</v>
      </c>
      <c r="G29" s="39">
        <f t="shared" si="23"/>
        <v>0</v>
      </c>
      <c r="H29" s="39">
        <f t="shared" si="24"/>
        <v>0</v>
      </c>
      <c r="I29" s="39">
        <f t="shared" si="25"/>
        <v>0.89285714299999996</v>
      </c>
      <c r="J29" s="39">
        <f t="shared" si="26"/>
        <v>0.10714285699999999</v>
      </c>
      <c r="K29" s="38" t="s">
        <v>63</v>
      </c>
      <c r="L29" s="52">
        <v>44585</v>
      </c>
      <c r="M29" s="52">
        <v>45573</v>
      </c>
      <c r="N29" s="38" t="s">
        <v>64</v>
      </c>
      <c r="O29" s="10"/>
      <c r="P29" s="7">
        <v>4</v>
      </c>
      <c r="Q29" s="41">
        <f t="shared" ref="Q29:T29" si="29">ROUND(G29*$D29,2)</f>
        <v>0</v>
      </c>
      <c r="R29" s="41">
        <f t="shared" si="29"/>
        <v>0</v>
      </c>
      <c r="S29" s="41">
        <f t="shared" si="29"/>
        <v>35215705.109999999</v>
      </c>
      <c r="T29" s="41">
        <f t="shared" si="29"/>
        <v>4225884.6100000003</v>
      </c>
      <c r="U29" s="41">
        <f t="shared" si="28"/>
        <v>39441589.719999999</v>
      </c>
      <c r="V29" s="14">
        <f t="shared" si="22"/>
        <v>-7.9999938607215881E-3</v>
      </c>
      <c r="W29" s="7"/>
      <c r="X29" s="42" t="s">
        <v>116</v>
      </c>
      <c r="Y29" s="42" t="s">
        <v>126</v>
      </c>
      <c r="Z29" s="45"/>
      <c r="AA29" s="45"/>
      <c r="AB29" s="45"/>
      <c r="AC29" s="55">
        <v>44504</v>
      </c>
      <c r="AD29" s="55">
        <v>44566</v>
      </c>
      <c r="AE29" s="45"/>
      <c r="AF29" s="45"/>
      <c r="AG29" s="45"/>
      <c r="AH29" s="45"/>
      <c r="AI29" s="45"/>
      <c r="AJ29" s="45"/>
      <c r="AK29" s="47"/>
      <c r="AL29" s="94"/>
      <c r="AM29" s="48"/>
      <c r="AN29" s="49"/>
      <c r="AO29" s="50"/>
      <c r="AP29" s="49"/>
      <c r="AQ29" s="50"/>
      <c r="AR29" s="49"/>
      <c r="AS29" s="50"/>
      <c r="AT29" s="49"/>
      <c r="AU29" s="50"/>
      <c r="AV29" s="49"/>
      <c r="AW29" s="50"/>
      <c r="AX29" s="49"/>
      <c r="AY29" s="50"/>
      <c r="AZ29" s="49"/>
      <c r="BA29" s="50"/>
      <c r="BB29" s="49"/>
      <c r="BC29" s="50"/>
      <c r="BD29" s="49"/>
      <c r="BE29" s="50"/>
      <c r="BF29" s="49"/>
      <c r="BG29" s="50"/>
      <c r="BH29" s="49"/>
      <c r="BI29" s="50"/>
      <c r="BJ29" s="49"/>
      <c r="BK29" s="51"/>
    </row>
    <row r="30" spans="1:63" ht="19.5" customHeight="1" x14ac:dyDescent="0.2">
      <c r="A30" s="8"/>
      <c r="B30" s="35" t="s">
        <v>127</v>
      </c>
      <c r="C30" s="228"/>
      <c r="D30" s="62">
        <f>10222090.16*1.12*0</f>
        <v>0</v>
      </c>
      <c r="E30" s="38"/>
      <c r="F30" s="38"/>
      <c r="G30" s="39"/>
      <c r="H30" s="39"/>
      <c r="I30" s="39"/>
      <c r="J30" s="39"/>
      <c r="K30" s="38"/>
      <c r="L30" s="52"/>
      <c r="M30" s="52"/>
      <c r="N30" s="38" t="s">
        <v>64</v>
      </c>
      <c r="O30" s="10"/>
      <c r="P30" s="7"/>
      <c r="Q30" s="41"/>
      <c r="R30" s="41"/>
      <c r="S30" s="41"/>
      <c r="T30" s="41"/>
      <c r="U30" s="41"/>
      <c r="V30" s="14"/>
      <c r="W30" s="7"/>
      <c r="X30" s="42"/>
      <c r="Y30" s="42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/>
      <c r="AL30" s="94"/>
      <c r="AM30" s="48"/>
      <c r="AN30" s="49"/>
      <c r="AO30" s="50"/>
      <c r="AP30" s="49"/>
      <c r="AQ30" s="50"/>
      <c r="AR30" s="49"/>
      <c r="AS30" s="50"/>
      <c r="AT30" s="49"/>
      <c r="AU30" s="50"/>
      <c r="AV30" s="49"/>
      <c r="AW30" s="50"/>
      <c r="AX30" s="49"/>
      <c r="AY30" s="50"/>
      <c r="AZ30" s="49"/>
      <c r="BA30" s="50"/>
      <c r="BB30" s="49"/>
      <c r="BC30" s="50"/>
      <c r="BD30" s="49"/>
      <c r="BE30" s="50"/>
      <c r="BF30" s="49"/>
      <c r="BG30" s="50"/>
      <c r="BH30" s="49"/>
      <c r="BI30" s="50"/>
      <c r="BJ30" s="49"/>
      <c r="BK30" s="51"/>
    </row>
    <row r="31" spans="1:63" ht="60" hidden="1" customHeight="1" x14ac:dyDescent="0.2">
      <c r="A31" s="8"/>
      <c r="B31" s="35" t="s">
        <v>128</v>
      </c>
      <c r="C31" s="228" t="s">
        <v>129</v>
      </c>
      <c r="D31" s="62">
        <f>21817671.32*1.12</f>
        <v>24435791.878400002</v>
      </c>
      <c r="E31" s="38" t="s">
        <v>61</v>
      </c>
      <c r="F31" s="38" t="s">
        <v>62</v>
      </c>
      <c r="G31" s="39">
        <f t="shared" ref="G31:G38" si="30">VLOOKUP($P31,$P$2:$T$5,2,FALSE)</f>
        <v>0</v>
      </c>
      <c r="H31" s="39">
        <f t="shared" ref="H31:H38" si="31">VLOOKUP($P31,$P$2:$T$5,3,FALSE)</f>
        <v>0</v>
      </c>
      <c r="I31" s="39">
        <f t="shared" ref="I31:I38" si="32">VLOOKUP($P31,$P$2:$T$5,4,FALSE)</f>
        <v>0.89285714299999996</v>
      </c>
      <c r="J31" s="39">
        <f t="shared" ref="J31:J38" si="33">VLOOKUP($P31,$P$2:$T$5,5,FALSE)</f>
        <v>0.10714285699999999</v>
      </c>
      <c r="K31" s="38" t="s">
        <v>63</v>
      </c>
      <c r="L31" s="52">
        <v>45021</v>
      </c>
      <c r="M31" s="52">
        <v>45937</v>
      </c>
      <c r="N31" s="38" t="s">
        <v>64</v>
      </c>
      <c r="O31" s="10"/>
      <c r="P31" s="7">
        <v>4</v>
      </c>
      <c r="Q31" s="41">
        <f t="shared" ref="Q31:R31" si="34">ROUND(G31*$D31,2)</f>
        <v>0</v>
      </c>
      <c r="R31" s="41">
        <f t="shared" si="34"/>
        <v>0</v>
      </c>
      <c r="S31" s="41">
        <v>21817671.32</v>
      </c>
      <c r="T31" s="41">
        <f>ROUND(J31*$D31,2)</f>
        <v>2618120.5499999998</v>
      </c>
      <c r="U31" s="41">
        <f t="shared" ref="U31:U38" si="35">SUM(Q31:T31)</f>
        <v>24435791.870000001</v>
      </c>
      <c r="V31" s="14">
        <f t="shared" ref="V31:V38" si="36">D31-U31</f>
        <v>8.4000006318092346E-3</v>
      </c>
      <c r="W31" s="7"/>
      <c r="X31" s="42" t="s">
        <v>116</v>
      </c>
      <c r="Y31" s="42" t="s">
        <v>130</v>
      </c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/>
      <c r="AL31" s="94"/>
      <c r="AM31" s="48"/>
      <c r="AN31" s="49"/>
      <c r="AO31" s="50"/>
      <c r="AP31" s="49"/>
      <c r="AQ31" s="50"/>
      <c r="AR31" s="49"/>
      <c r="AS31" s="50"/>
      <c r="AT31" s="49"/>
      <c r="AU31" s="50"/>
      <c r="AV31" s="49"/>
      <c r="AW31" s="50"/>
      <c r="AX31" s="49"/>
      <c r="AY31" s="50"/>
      <c r="AZ31" s="49"/>
      <c r="BA31" s="50"/>
      <c r="BB31" s="49"/>
      <c r="BC31" s="50"/>
      <c r="BD31" s="49"/>
      <c r="BE31" s="50"/>
      <c r="BF31" s="49"/>
      <c r="BG31" s="50"/>
      <c r="BH31" s="49"/>
      <c r="BI31" s="50"/>
      <c r="BJ31" s="49"/>
      <c r="BK31" s="51"/>
    </row>
    <row r="32" spans="1:63" ht="39" customHeight="1" x14ac:dyDescent="0.2">
      <c r="A32" s="8"/>
      <c r="B32" s="35" t="s">
        <v>131</v>
      </c>
      <c r="C32" s="228" t="s">
        <v>132</v>
      </c>
      <c r="D32" s="62">
        <f>(6684377.71*1.12)-1751501.54</f>
        <v>5735001.4952000007</v>
      </c>
      <c r="E32" s="38" t="s">
        <v>61</v>
      </c>
      <c r="F32" s="38" t="s">
        <v>62</v>
      </c>
      <c r="G32" s="39">
        <f t="shared" si="30"/>
        <v>0.46579531350148357</v>
      </c>
      <c r="H32" s="39">
        <f t="shared" si="31"/>
        <v>0.4270618294985164</v>
      </c>
      <c r="I32" s="39">
        <f t="shared" si="32"/>
        <v>0</v>
      </c>
      <c r="J32" s="39">
        <f t="shared" si="33"/>
        <v>0.10714285699999999</v>
      </c>
      <c r="K32" s="38" t="s">
        <v>63</v>
      </c>
      <c r="L32" s="95">
        <v>44856</v>
      </c>
      <c r="M32" s="95">
        <v>45622</v>
      </c>
      <c r="N32" s="38" t="s">
        <v>64</v>
      </c>
      <c r="O32" s="10"/>
      <c r="P32" s="7">
        <v>2</v>
      </c>
      <c r="Q32" s="41">
        <f t="shared" ref="Q32:T32" si="37">ROUND(G32*$D32,2)</f>
        <v>2671336.8199999998</v>
      </c>
      <c r="R32" s="41">
        <f t="shared" si="37"/>
        <v>2449200.23</v>
      </c>
      <c r="S32" s="41">
        <f t="shared" si="37"/>
        <v>0</v>
      </c>
      <c r="T32" s="41">
        <f t="shared" si="37"/>
        <v>614464.44999999995</v>
      </c>
      <c r="U32" s="41">
        <f t="shared" si="35"/>
        <v>5735001.5</v>
      </c>
      <c r="V32" s="14">
        <f t="shared" si="36"/>
        <v>-4.7999992966651917E-3</v>
      </c>
      <c r="W32" s="7"/>
      <c r="X32" s="42" t="s">
        <v>116</v>
      </c>
      <c r="Y32" s="42" t="s">
        <v>133</v>
      </c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/>
      <c r="AL32" s="94"/>
      <c r="AM32" s="48"/>
      <c r="AN32" s="49"/>
      <c r="AO32" s="50"/>
      <c r="AP32" s="49"/>
      <c r="AQ32" s="50"/>
      <c r="AR32" s="49"/>
      <c r="AS32" s="50"/>
      <c r="AT32" s="49"/>
      <c r="AU32" s="50"/>
      <c r="AV32" s="49"/>
      <c r="AW32" s="50"/>
      <c r="AX32" s="49"/>
      <c r="AY32" s="50"/>
      <c r="AZ32" s="49"/>
      <c r="BA32" s="50"/>
      <c r="BB32" s="49"/>
      <c r="BC32" s="50"/>
      <c r="BD32" s="49"/>
      <c r="BE32" s="50"/>
      <c r="BF32" s="49"/>
      <c r="BG32" s="50"/>
      <c r="BH32" s="49"/>
      <c r="BI32" s="50"/>
      <c r="BJ32" s="49"/>
      <c r="BK32" s="51"/>
    </row>
    <row r="33" spans="1:63" ht="19.5" hidden="1" customHeight="1" x14ac:dyDescent="0.2">
      <c r="A33" s="59"/>
      <c r="B33" s="35" t="s">
        <v>134</v>
      </c>
      <c r="C33" s="228" t="s">
        <v>135</v>
      </c>
      <c r="D33" s="62"/>
      <c r="E33" s="38" t="s">
        <v>77</v>
      </c>
      <c r="F33" s="38" t="s">
        <v>62</v>
      </c>
      <c r="G33" s="39">
        <f t="shared" si="30"/>
        <v>0.89285714299999996</v>
      </c>
      <c r="H33" s="39">
        <f t="shared" si="31"/>
        <v>0</v>
      </c>
      <c r="I33" s="39">
        <f t="shared" si="32"/>
        <v>0</v>
      </c>
      <c r="J33" s="39">
        <f t="shared" si="33"/>
        <v>0.10714285699999999</v>
      </c>
      <c r="K33" s="38" t="s">
        <v>63</v>
      </c>
      <c r="L33" s="52">
        <v>44501</v>
      </c>
      <c r="M33" s="52">
        <f>L33+720</f>
        <v>45221</v>
      </c>
      <c r="N33" s="38" t="s">
        <v>81</v>
      </c>
      <c r="O33" s="10"/>
      <c r="P33" s="7">
        <v>1</v>
      </c>
      <c r="Q33" s="41">
        <f t="shared" ref="Q33:T33" si="38">ROUND(G33*$D33,2)</f>
        <v>0</v>
      </c>
      <c r="R33" s="41">
        <f t="shared" si="38"/>
        <v>0</v>
      </c>
      <c r="S33" s="41">
        <f t="shared" si="38"/>
        <v>0</v>
      </c>
      <c r="T33" s="41">
        <f t="shared" si="38"/>
        <v>0</v>
      </c>
      <c r="U33" s="41">
        <f t="shared" si="35"/>
        <v>0</v>
      </c>
      <c r="V33" s="14">
        <f t="shared" si="36"/>
        <v>0</v>
      </c>
      <c r="W33" s="7"/>
      <c r="X33" s="42" t="s">
        <v>65</v>
      </c>
      <c r="Y33" s="42" t="s">
        <v>136</v>
      </c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/>
      <c r="AL33" s="94"/>
      <c r="AM33" s="48"/>
      <c r="AN33" s="49"/>
      <c r="AO33" s="50"/>
      <c r="AP33" s="49"/>
      <c r="AQ33" s="50"/>
      <c r="AR33" s="49"/>
      <c r="AS33" s="50"/>
      <c r="AT33" s="49"/>
      <c r="AU33" s="50"/>
      <c r="AV33" s="49"/>
      <c r="AW33" s="50"/>
      <c r="AX33" s="49"/>
      <c r="AY33" s="50"/>
      <c r="AZ33" s="49"/>
      <c r="BA33" s="50"/>
      <c r="BB33" s="49"/>
      <c r="BC33" s="50"/>
      <c r="BD33" s="49"/>
      <c r="BE33" s="50"/>
      <c r="BF33" s="49"/>
      <c r="BG33" s="50"/>
      <c r="BH33" s="49"/>
      <c r="BI33" s="50"/>
      <c r="BJ33" s="49"/>
      <c r="BK33" s="51"/>
    </row>
    <row r="34" spans="1:63" ht="44.1" customHeight="1" x14ac:dyDescent="0.2">
      <c r="A34" s="8"/>
      <c r="B34" s="35" t="s">
        <v>134</v>
      </c>
      <c r="C34" s="228" t="s">
        <v>137</v>
      </c>
      <c r="D34" s="62">
        <f>1635000*1.12</f>
        <v>1831200.0000000002</v>
      </c>
      <c r="E34" s="38" t="s">
        <v>77</v>
      </c>
      <c r="F34" s="38" t="s">
        <v>62</v>
      </c>
      <c r="G34" s="39">
        <f t="shared" si="30"/>
        <v>0.89285714299999996</v>
      </c>
      <c r="H34" s="39">
        <f t="shared" si="31"/>
        <v>0</v>
      </c>
      <c r="I34" s="39">
        <f t="shared" si="32"/>
        <v>0</v>
      </c>
      <c r="J34" s="39">
        <f t="shared" si="33"/>
        <v>0.10714285699999999</v>
      </c>
      <c r="K34" s="38" t="s">
        <v>63</v>
      </c>
      <c r="L34" s="52">
        <v>44531</v>
      </c>
      <c r="M34" s="52">
        <v>45174</v>
      </c>
      <c r="N34" s="38" t="s">
        <v>64</v>
      </c>
      <c r="O34" s="10"/>
      <c r="P34" s="7">
        <v>1</v>
      </c>
      <c r="Q34" s="41">
        <f t="shared" ref="Q34:T34" si="39">ROUND(G34*$D34,2)</f>
        <v>1635000</v>
      </c>
      <c r="R34" s="41">
        <f t="shared" si="39"/>
        <v>0</v>
      </c>
      <c r="S34" s="41">
        <f t="shared" si="39"/>
        <v>0</v>
      </c>
      <c r="T34" s="41">
        <f t="shared" si="39"/>
        <v>196200</v>
      </c>
      <c r="U34" s="41">
        <f t="shared" si="35"/>
        <v>1831200</v>
      </c>
      <c r="V34" s="14">
        <f t="shared" si="36"/>
        <v>0</v>
      </c>
      <c r="W34" s="7"/>
      <c r="X34" s="42" t="s">
        <v>65</v>
      </c>
      <c r="Y34" s="42" t="s">
        <v>138</v>
      </c>
      <c r="Z34" s="55">
        <v>44468</v>
      </c>
      <c r="AA34" s="53" t="s">
        <v>139</v>
      </c>
      <c r="AB34" s="55">
        <v>44497</v>
      </c>
      <c r="AC34" s="55">
        <v>44505</v>
      </c>
      <c r="AD34" s="45"/>
      <c r="AE34" s="45"/>
      <c r="AF34" s="45"/>
      <c r="AG34" s="45"/>
      <c r="AH34" s="45"/>
      <c r="AI34" s="45"/>
      <c r="AJ34" s="45"/>
      <c r="AK34" s="47"/>
      <c r="AL34" s="94"/>
      <c r="AM34" s="48"/>
      <c r="AN34" s="49"/>
      <c r="AO34" s="50"/>
      <c r="AP34" s="49"/>
      <c r="AQ34" s="50"/>
      <c r="AR34" s="49"/>
      <c r="AS34" s="50"/>
      <c r="AT34" s="49"/>
      <c r="AU34" s="50"/>
      <c r="AV34" s="49"/>
      <c r="AW34" s="50"/>
      <c r="AX34" s="49"/>
      <c r="AY34" s="50"/>
      <c r="AZ34" s="49"/>
      <c r="BA34" s="50"/>
      <c r="BB34" s="49"/>
      <c r="BC34" s="50"/>
      <c r="BD34" s="49"/>
      <c r="BE34" s="50"/>
      <c r="BF34" s="49"/>
      <c r="BG34" s="50"/>
      <c r="BH34" s="49"/>
      <c r="BI34" s="50"/>
      <c r="BJ34" s="49"/>
      <c r="BK34" s="51"/>
    </row>
    <row r="35" spans="1:63" ht="19.5" customHeight="1" x14ac:dyDescent="0.2">
      <c r="A35" s="8"/>
      <c r="B35" s="35" t="s">
        <v>140</v>
      </c>
      <c r="C35" s="228" t="s">
        <v>141</v>
      </c>
      <c r="D35" s="62">
        <f>1050000*1.12</f>
        <v>1176000</v>
      </c>
      <c r="E35" s="38" t="s">
        <v>77</v>
      </c>
      <c r="F35" s="38" t="s">
        <v>62</v>
      </c>
      <c r="G35" s="39">
        <f t="shared" si="30"/>
        <v>0.89285714299999996</v>
      </c>
      <c r="H35" s="39">
        <f t="shared" si="31"/>
        <v>0</v>
      </c>
      <c r="I35" s="39">
        <f t="shared" si="32"/>
        <v>0</v>
      </c>
      <c r="J35" s="39">
        <f t="shared" si="33"/>
        <v>0.10714285699999999</v>
      </c>
      <c r="K35" s="38" t="s">
        <v>63</v>
      </c>
      <c r="L35" s="40">
        <v>44627</v>
      </c>
      <c r="M35" s="52">
        <v>45222</v>
      </c>
      <c r="N35" s="38" t="s">
        <v>64</v>
      </c>
      <c r="O35" s="10"/>
      <c r="P35" s="7">
        <v>1</v>
      </c>
      <c r="Q35" s="41">
        <f t="shared" ref="Q35:T35" si="40">ROUND(G35*$D35,2)</f>
        <v>1050000</v>
      </c>
      <c r="R35" s="41">
        <f t="shared" si="40"/>
        <v>0</v>
      </c>
      <c r="S35" s="41">
        <f t="shared" si="40"/>
        <v>0</v>
      </c>
      <c r="T35" s="41">
        <f t="shared" si="40"/>
        <v>126000</v>
      </c>
      <c r="U35" s="41">
        <f t="shared" si="35"/>
        <v>1176000</v>
      </c>
      <c r="V35" s="14">
        <f t="shared" si="36"/>
        <v>0</v>
      </c>
      <c r="W35" s="7"/>
      <c r="X35" s="42" t="s">
        <v>65</v>
      </c>
      <c r="Y35" s="42" t="s">
        <v>142</v>
      </c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7"/>
      <c r="AL35" s="94"/>
      <c r="AM35" s="48"/>
      <c r="AN35" s="49"/>
      <c r="AO35" s="50"/>
      <c r="AP35" s="49"/>
      <c r="AQ35" s="50"/>
      <c r="AR35" s="49"/>
      <c r="AS35" s="50"/>
      <c r="AT35" s="49"/>
      <c r="AU35" s="50"/>
      <c r="AV35" s="49"/>
      <c r="AW35" s="50"/>
      <c r="AX35" s="49"/>
      <c r="AY35" s="50"/>
      <c r="AZ35" s="49"/>
      <c r="BA35" s="50"/>
      <c r="BB35" s="49"/>
      <c r="BC35" s="50"/>
      <c r="BD35" s="49"/>
      <c r="BE35" s="50"/>
      <c r="BF35" s="49"/>
      <c r="BG35" s="50"/>
      <c r="BH35" s="49"/>
      <c r="BI35" s="50"/>
      <c r="BJ35" s="49"/>
      <c r="BK35" s="51"/>
    </row>
    <row r="36" spans="1:63" ht="39.75" customHeight="1" x14ac:dyDescent="0.2">
      <c r="A36" s="8"/>
      <c r="B36" s="35" t="s">
        <v>143</v>
      </c>
      <c r="C36" s="228" t="s">
        <v>144</v>
      </c>
      <c r="D36" s="62">
        <f>5000*1.12</f>
        <v>5600.0000000000009</v>
      </c>
      <c r="E36" s="38" t="s">
        <v>69</v>
      </c>
      <c r="F36" s="38" t="s">
        <v>80</v>
      </c>
      <c r="G36" s="39">
        <f t="shared" si="30"/>
        <v>0.89285714299999996</v>
      </c>
      <c r="H36" s="39">
        <f t="shared" si="31"/>
        <v>0</v>
      </c>
      <c r="I36" s="39">
        <f t="shared" si="32"/>
        <v>0</v>
      </c>
      <c r="J36" s="39">
        <f t="shared" si="33"/>
        <v>0.10714285699999999</v>
      </c>
      <c r="K36" s="38" t="s">
        <v>63</v>
      </c>
      <c r="L36" s="40">
        <v>45124</v>
      </c>
      <c r="M36" s="40">
        <v>45412</v>
      </c>
      <c r="N36" s="38" t="s">
        <v>64</v>
      </c>
      <c r="O36" s="10"/>
      <c r="P36" s="7">
        <v>1</v>
      </c>
      <c r="Q36" s="41">
        <f t="shared" ref="Q36:T36" si="41">ROUND(G36*$D36,2)</f>
        <v>5000</v>
      </c>
      <c r="R36" s="41">
        <f t="shared" si="41"/>
        <v>0</v>
      </c>
      <c r="S36" s="41">
        <f t="shared" si="41"/>
        <v>0</v>
      </c>
      <c r="T36" s="41">
        <f t="shared" si="41"/>
        <v>600</v>
      </c>
      <c r="U36" s="41">
        <f t="shared" si="35"/>
        <v>5600</v>
      </c>
      <c r="V36" s="14">
        <f t="shared" si="36"/>
        <v>0</v>
      </c>
      <c r="W36" s="7"/>
      <c r="X36" s="42" t="s">
        <v>65</v>
      </c>
      <c r="Y36" s="42" t="s">
        <v>145</v>
      </c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7"/>
      <c r="AL36" s="94"/>
      <c r="AM36" s="48"/>
      <c r="AN36" s="49"/>
      <c r="AO36" s="50"/>
      <c r="AP36" s="49"/>
      <c r="AQ36" s="50"/>
      <c r="AR36" s="49"/>
      <c r="AS36" s="50"/>
      <c r="AT36" s="49"/>
      <c r="AU36" s="50"/>
      <c r="AV36" s="49"/>
      <c r="AW36" s="50"/>
      <c r="AX36" s="49"/>
      <c r="AY36" s="50"/>
      <c r="AZ36" s="49"/>
      <c r="BA36" s="50"/>
      <c r="BB36" s="49"/>
      <c r="BC36" s="50"/>
      <c r="BD36" s="49"/>
      <c r="BE36" s="50"/>
      <c r="BF36" s="49"/>
      <c r="BG36" s="50"/>
      <c r="BH36" s="49"/>
      <c r="BI36" s="50"/>
      <c r="BJ36" s="49"/>
      <c r="BK36" s="51"/>
    </row>
    <row r="37" spans="1:63" ht="19.5" customHeight="1" x14ac:dyDescent="0.2">
      <c r="A37" s="8"/>
      <c r="B37" s="35" t="s">
        <v>146</v>
      </c>
      <c r="C37" s="227" t="s">
        <v>357</v>
      </c>
      <c r="D37" s="62">
        <v>79300</v>
      </c>
      <c r="E37" s="38" t="s">
        <v>69</v>
      </c>
      <c r="F37" s="38" t="s">
        <v>80</v>
      </c>
      <c r="G37" s="39">
        <f t="shared" si="30"/>
        <v>0.89285714299999996</v>
      </c>
      <c r="H37" s="39">
        <f t="shared" si="31"/>
        <v>0</v>
      </c>
      <c r="I37" s="39">
        <f t="shared" si="32"/>
        <v>0</v>
      </c>
      <c r="J37" s="39">
        <f t="shared" si="33"/>
        <v>0.10714285699999999</v>
      </c>
      <c r="K37" s="38" t="s">
        <v>63</v>
      </c>
      <c r="L37" s="222">
        <v>44614</v>
      </c>
      <c r="M37" s="40">
        <v>44747</v>
      </c>
      <c r="N37" s="38" t="s">
        <v>64</v>
      </c>
      <c r="O37" s="10"/>
      <c r="P37" s="7">
        <v>1</v>
      </c>
      <c r="Q37" s="41">
        <f t="shared" ref="Q37:T37" si="42">ROUND(G37*$D37,2)</f>
        <v>70803.570000000007</v>
      </c>
      <c r="R37" s="41">
        <f t="shared" si="42"/>
        <v>0</v>
      </c>
      <c r="S37" s="41">
        <f t="shared" si="42"/>
        <v>0</v>
      </c>
      <c r="T37" s="41">
        <f t="shared" si="42"/>
        <v>8496.43</v>
      </c>
      <c r="U37" s="41">
        <f t="shared" si="35"/>
        <v>79300</v>
      </c>
      <c r="V37" s="14">
        <f t="shared" si="36"/>
        <v>0</v>
      </c>
      <c r="W37" s="7"/>
      <c r="X37" s="42" t="s">
        <v>71</v>
      </c>
      <c r="Y37" s="42" t="s">
        <v>147</v>
      </c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7"/>
      <c r="AL37" s="94"/>
      <c r="AM37" s="48"/>
      <c r="AN37" s="49"/>
      <c r="AO37" s="50"/>
      <c r="AP37" s="49"/>
      <c r="AQ37" s="50"/>
      <c r="AR37" s="49"/>
      <c r="AS37" s="50"/>
      <c r="AT37" s="49"/>
      <c r="AU37" s="50"/>
      <c r="AV37" s="49"/>
      <c r="AW37" s="50"/>
      <c r="AX37" s="49"/>
      <c r="AY37" s="50"/>
      <c r="AZ37" s="49"/>
      <c r="BA37" s="50"/>
      <c r="BB37" s="49"/>
      <c r="BC37" s="50"/>
      <c r="BD37" s="49"/>
      <c r="BE37" s="50"/>
      <c r="BF37" s="49"/>
      <c r="BG37" s="50"/>
      <c r="BH37" s="49"/>
      <c r="BI37" s="50"/>
      <c r="BJ37" s="49"/>
      <c r="BK37" s="51"/>
    </row>
    <row r="38" spans="1:63" ht="19.5" customHeight="1" x14ac:dyDescent="0.2">
      <c r="A38" s="8"/>
      <c r="B38" s="35" t="s">
        <v>148</v>
      </c>
      <c r="C38" s="227" t="s">
        <v>358</v>
      </c>
      <c r="D38" s="62">
        <f>120000*1.12</f>
        <v>134400</v>
      </c>
      <c r="E38" s="38" t="s">
        <v>69</v>
      </c>
      <c r="F38" s="38" t="s">
        <v>80</v>
      </c>
      <c r="G38" s="39">
        <f t="shared" si="30"/>
        <v>0.89285714299999996</v>
      </c>
      <c r="H38" s="39">
        <f t="shared" si="31"/>
        <v>0</v>
      </c>
      <c r="I38" s="39">
        <f t="shared" si="32"/>
        <v>0</v>
      </c>
      <c r="J38" s="39">
        <f t="shared" si="33"/>
        <v>0.10714285699999999</v>
      </c>
      <c r="K38" s="38" t="s">
        <v>63</v>
      </c>
      <c r="L38" s="52">
        <v>44603</v>
      </c>
      <c r="M38" s="40">
        <v>44892</v>
      </c>
      <c r="N38" s="38" t="s">
        <v>64</v>
      </c>
      <c r="O38" s="10"/>
      <c r="P38" s="7">
        <v>1</v>
      </c>
      <c r="Q38" s="41">
        <f t="shared" ref="Q38:T38" si="43">ROUND(G38*$D38,2)</f>
        <v>120000</v>
      </c>
      <c r="R38" s="41">
        <f t="shared" si="43"/>
        <v>0</v>
      </c>
      <c r="S38" s="41">
        <f t="shared" si="43"/>
        <v>0</v>
      </c>
      <c r="T38" s="41">
        <f t="shared" si="43"/>
        <v>14400</v>
      </c>
      <c r="U38" s="41">
        <f t="shared" si="35"/>
        <v>134400</v>
      </c>
      <c r="V38" s="14">
        <f t="shared" si="36"/>
        <v>0</v>
      </c>
      <c r="W38" s="7"/>
      <c r="X38" s="42" t="s">
        <v>65</v>
      </c>
      <c r="Y38" s="42" t="s">
        <v>149</v>
      </c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7"/>
      <c r="AL38" s="94"/>
      <c r="AM38" s="48"/>
      <c r="AN38" s="49"/>
      <c r="AO38" s="50"/>
      <c r="AP38" s="49"/>
      <c r="AQ38" s="50"/>
      <c r="AR38" s="49"/>
      <c r="AS38" s="50"/>
      <c r="AT38" s="49"/>
      <c r="AU38" s="50"/>
      <c r="AV38" s="49"/>
      <c r="AW38" s="50"/>
      <c r="AX38" s="49"/>
      <c r="AY38" s="50"/>
      <c r="AZ38" s="49"/>
      <c r="BA38" s="50"/>
      <c r="BB38" s="49"/>
      <c r="BC38" s="50"/>
      <c r="BD38" s="49"/>
      <c r="BE38" s="50"/>
      <c r="BF38" s="49"/>
      <c r="BG38" s="50"/>
      <c r="BH38" s="49"/>
      <c r="BI38" s="50"/>
      <c r="BJ38" s="49"/>
      <c r="BK38" s="51"/>
    </row>
    <row r="39" spans="1:63" ht="19.5" customHeight="1" x14ac:dyDescent="0.2">
      <c r="A39" s="8"/>
      <c r="B39" s="35"/>
      <c r="C39" s="36"/>
      <c r="D39" s="62"/>
      <c r="E39" s="38"/>
      <c r="F39" s="38"/>
      <c r="G39" s="39"/>
      <c r="H39" s="39"/>
      <c r="I39" s="39"/>
      <c r="J39" s="39"/>
      <c r="K39" s="38"/>
      <c r="L39" s="52"/>
      <c r="M39" s="52"/>
      <c r="N39" s="38" t="s">
        <v>64</v>
      </c>
      <c r="O39" s="10"/>
      <c r="P39" s="7"/>
      <c r="Q39" s="41"/>
      <c r="R39" s="41"/>
      <c r="S39" s="41"/>
      <c r="T39" s="41"/>
      <c r="U39" s="7"/>
      <c r="V39" s="7"/>
      <c r="W39" s="7"/>
      <c r="X39" s="42"/>
      <c r="Y39" s="42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7"/>
      <c r="AL39" s="94"/>
      <c r="AM39" s="68"/>
      <c r="AN39" s="69"/>
      <c r="AO39" s="70"/>
      <c r="AP39" s="69"/>
      <c r="AQ39" s="70"/>
      <c r="AR39" s="69"/>
      <c r="AS39" s="70"/>
      <c r="AT39" s="69"/>
      <c r="AU39" s="70"/>
      <c r="AV39" s="69"/>
      <c r="AW39" s="70"/>
      <c r="AX39" s="69"/>
      <c r="AY39" s="70"/>
      <c r="AZ39" s="69"/>
      <c r="BA39" s="70"/>
      <c r="BB39" s="69"/>
      <c r="BC39" s="70"/>
      <c r="BD39" s="69"/>
      <c r="BE39" s="70"/>
      <c r="BF39" s="69"/>
      <c r="BG39" s="70"/>
      <c r="BH39" s="69"/>
      <c r="BI39" s="70"/>
      <c r="BJ39" s="69"/>
      <c r="BK39" s="51"/>
    </row>
    <row r="40" spans="1:63" ht="19.5" customHeight="1" x14ac:dyDescent="0.2">
      <c r="A40" s="8"/>
      <c r="B40" s="248" t="s">
        <v>150</v>
      </c>
      <c r="C40" s="238"/>
      <c r="D40" s="96">
        <f>SUM(D26:D39)</f>
        <v>103117627.1956</v>
      </c>
      <c r="E40" s="97"/>
      <c r="F40" s="97"/>
      <c r="G40" s="73"/>
      <c r="H40" s="73"/>
      <c r="I40" s="73"/>
      <c r="J40" s="73"/>
      <c r="K40" s="72"/>
      <c r="L40" s="74"/>
      <c r="M40" s="74"/>
      <c r="N40" s="72"/>
      <c r="O40" s="10"/>
      <c r="P40" s="7"/>
      <c r="Q40" s="63">
        <f>SUM(Q26:Q38)</f>
        <v>19112569.990000002</v>
      </c>
      <c r="R40" s="63">
        <f>SUM(R26:R38)</f>
        <v>15923363.59</v>
      </c>
      <c r="S40" s="63">
        <f>SUM(S26:S38)</f>
        <v>57033376.43</v>
      </c>
      <c r="T40" s="63">
        <f>SUM(T26:T38)</f>
        <v>11048317.189999998</v>
      </c>
      <c r="U40" s="63">
        <f>SUM(Q40:T40)</f>
        <v>103117627.19999999</v>
      </c>
      <c r="V40" s="98">
        <f>D40-U40</f>
        <v>-4.3999850749969482E-3</v>
      </c>
      <c r="W40" s="7"/>
      <c r="X40" s="97"/>
      <c r="Y40" s="97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99"/>
      <c r="AL40" s="78"/>
      <c r="AM40" s="76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8"/>
    </row>
    <row r="41" spans="1:63" ht="14.25" customHeight="1" x14ac:dyDescent="0.2">
      <c r="A41" s="8"/>
      <c r="B41" s="79"/>
      <c r="C41" s="80"/>
      <c r="D41" s="81"/>
      <c r="E41" s="79"/>
      <c r="F41" s="79"/>
      <c r="G41" s="82"/>
      <c r="H41" s="82"/>
      <c r="I41" s="82"/>
      <c r="J41" s="82"/>
      <c r="K41" s="79"/>
      <c r="L41" s="83"/>
      <c r="M41" s="83"/>
      <c r="N41" s="79"/>
      <c r="O41" s="10"/>
      <c r="P41" s="7"/>
      <c r="Q41" s="84"/>
      <c r="R41" s="84"/>
      <c r="S41" s="84"/>
      <c r="T41" s="84"/>
      <c r="U41" s="7"/>
      <c r="V41" s="7"/>
      <c r="W41" s="7"/>
      <c r="X41" s="79"/>
      <c r="Y41" s="79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6"/>
      <c r="AL41" s="75"/>
      <c r="AM41" s="76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5"/>
    </row>
    <row r="42" spans="1:63" ht="19.5" customHeight="1" x14ac:dyDescent="0.2">
      <c r="A42" s="8"/>
      <c r="B42" s="237" t="s">
        <v>151</v>
      </c>
      <c r="C42" s="238"/>
      <c r="D42" s="100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10"/>
      <c r="P42" s="7"/>
      <c r="Q42" s="87" t="s">
        <v>151</v>
      </c>
      <c r="R42" s="87"/>
      <c r="S42" s="88"/>
      <c r="T42" s="88"/>
      <c r="U42" s="88"/>
      <c r="V42" s="7"/>
      <c r="W42" s="7"/>
      <c r="X42" s="86"/>
      <c r="Y42" s="8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8"/>
      <c r="AL42" s="89"/>
      <c r="AM42" s="90"/>
      <c r="AN42" s="33"/>
      <c r="AO42" s="32"/>
      <c r="AP42" s="33"/>
      <c r="AQ42" s="32"/>
      <c r="AR42" s="33"/>
      <c r="AS42" s="32"/>
      <c r="AT42" s="33"/>
      <c r="AU42" s="32"/>
      <c r="AV42" s="33"/>
      <c r="AW42" s="32"/>
      <c r="AX42" s="33"/>
      <c r="AY42" s="32"/>
      <c r="AZ42" s="33"/>
      <c r="BA42" s="32"/>
      <c r="BB42" s="33"/>
      <c r="BC42" s="32"/>
      <c r="BD42" s="33"/>
      <c r="BE42" s="32"/>
      <c r="BF42" s="33"/>
      <c r="BG42" s="32"/>
      <c r="BH42" s="33"/>
      <c r="BI42" s="32"/>
      <c r="BJ42" s="33"/>
      <c r="BK42" s="91"/>
    </row>
    <row r="43" spans="1:63" ht="39.75" customHeight="1" x14ac:dyDescent="0.2">
      <c r="A43" s="8"/>
      <c r="B43" s="38" t="s">
        <v>152</v>
      </c>
      <c r="C43" s="230" t="s">
        <v>153</v>
      </c>
      <c r="D43" s="223">
        <v>50000</v>
      </c>
      <c r="E43" s="224" t="s">
        <v>69</v>
      </c>
      <c r="F43" s="38" t="s">
        <v>62</v>
      </c>
      <c r="G43" s="39">
        <f t="shared" ref="G43:G59" si="44">VLOOKUP($P43,$P$2:$T$5,2,FALSE)</f>
        <v>0.89285714299999996</v>
      </c>
      <c r="H43" s="39">
        <f t="shared" ref="H43:H59" si="45">VLOOKUP($P43,$P$2:$T$5,3,FALSE)</f>
        <v>0</v>
      </c>
      <c r="I43" s="39">
        <f t="shared" ref="I43:I59" si="46">VLOOKUP($P43,$P$2:$T$5,4,FALSE)</f>
        <v>0</v>
      </c>
      <c r="J43" s="39">
        <f t="shared" ref="J43:J59" si="47">VLOOKUP($P43,$P$2:$T$5,5,FALSE)</f>
        <v>0.10714285699999999</v>
      </c>
      <c r="K43" s="38" t="s">
        <v>63</v>
      </c>
      <c r="L43" s="40">
        <v>44578</v>
      </c>
      <c r="M43" s="40">
        <v>44926</v>
      </c>
      <c r="N43" s="38" t="s">
        <v>64</v>
      </c>
      <c r="O43" s="10"/>
      <c r="P43" s="7">
        <v>1</v>
      </c>
      <c r="Q43" s="41">
        <f t="shared" ref="Q43:T43" si="48">ROUND(G43*$D43,2)</f>
        <v>44642.86</v>
      </c>
      <c r="R43" s="41">
        <f t="shared" si="48"/>
        <v>0</v>
      </c>
      <c r="S43" s="41">
        <f t="shared" si="48"/>
        <v>0</v>
      </c>
      <c r="T43" s="41">
        <f t="shared" si="48"/>
        <v>5357.14</v>
      </c>
      <c r="U43" s="41">
        <f t="shared" ref="U43:U61" si="49">SUM(Q43:T43)</f>
        <v>50000</v>
      </c>
      <c r="V43" s="14">
        <f t="shared" ref="V43:V61" si="50">D43-U43</f>
        <v>0</v>
      </c>
      <c r="W43" s="7"/>
      <c r="X43" s="42" t="s">
        <v>65</v>
      </c>
      <c r="Y43" s="38" t="s">
        <v>154</v>
      </c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7"/>
      <c r="AL43" s="94"/>
      <c r="AM43" s="48"/>
      <c r="AN43" s="49"/>
      <c r="AO43" s="50"/>
      <c r="AP43" s="49"/>
      <c r="AQ43" s="50"/>
      <c r="AR43" s="49"/>
      <c r="AS43" s="50"/>
      <c r="AT43" s="49"/>
      <c r="AU43" s="50"/>
      <c r="AV43" s="49"/>
      <c r="AW43" s="50"/>
      <c r="AX43" s="49"/>
      <c r="AY43" s="50"/>
      <c r="AZ43" s="49"/>
      <c r="BA43" s="50"/>
      <c r="BB43" s="49"/>
      <c r="BC43" s="50"/>
      <c r="BD43" s="49"/>
      <c r="BE43" s="50"/>
      <c r="BF43" s="49"/>
      <c r="BG43" s="50"/>
      <c r="BH43" s="49"/>
      <c r="BI43" s="50"/>
      <c r="BJ43" s="49"/>
      <c r="BK43" s="51"/>
    </row>
    <row r="44" spans="1:63" ht="39.75" customHeight="1" x14ac:dyDescent="0.2">
      <c r="A44" s="8"/>
      <c r="B44" s="38" t="s">
        <v>155</v>
      </c>
      <c r="C44" s="230" t="s">
        <v>156</v>
      </c>
      <c r="D44" s="103">
        <f>10000*1.12</f>
        <v>11200.000000000002</v>
      </c>
      <c r="E44" s="38" t="s">
        <v>69</v>
      </c>
      <c r="F44" s="38" t="s">
        <v>80</v>
      </c>
      <c r="G44" s="39">
        <f t="shared" si="44"/>
        <v>0.89285714299999996</v>
      </c>
      <c r="H44" s="39">
        <f t="shared" si="45"/>
        <v>0</v>
      </c>
      <c r="I44" s="39">
        <f t="shared" si="46"/>
        <v>0</v>
      </c>
      <c r="J44" s="39">
        <f t="shared" si="47"/>
        <v>0.10714285699999999</v>
      </c>
      <c r="K44" s="38" t="s">
        <v>63</v>
      </c>
      <c r="L44" s="40">
        <v>44748</v>
      </c>
      <c r="M44" s="40">
        <v>45412</v>
      </c>
      <c r="N44" s="38" t="s">
        <v>64</v>
      </c>
      <c r="O44" s="10"/>
      <c r="P44" s="7">
        <v>1</v>
      </c>
      <c r="Q44" s="41">
        <f t="shared" ref="Q44:T44" si="51">ROUND(G44*$D44,2)</f>
        <v>10000</v>
      </c>
      <c r="R44" s="41">
        <f t="shared" si="51"/>
        <v>0</v>
      </c>
      <c r="S44" s="41">
        <f t="shared" si="51"/>
        <v>0</v>
      </c>
      <c r="T44" s="41">
        <f t="shared" si="51"/>
        <v>1200</v>
      </c>
      <c r="U44" s="41">
        <f t="shared" si="49"/>
        <v>11200</v>
      </c>
      <c r="V44" s="14">
        <f t="shared" si="50"/>
        <v>0</v>
      </c>
      <c r="W44" s="7"/>
      <c r="X44" s="42" t="s">
        <v>65</v>
      </c>
      <c r="Y44" s="38" t="s">
        <v>157</v>
      </c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7"/>
      <c r="AL44" s="94"/>
      <c r="AM44" s="48"/>
      <c r="AN44" s="49"/>
      <c r="AO44" s="50"/>
      <c r="AP44" s="49"/>
      <c r="AQ44" s="50"/>
      <c r="AR44" s="49"/>
      <c r="AS44" s="50"/>
      <c r="AT44" s="49"/>
      <c r="AU44" s="50"/>
      <c r="AV44" s="49"/>
      <c r="AW44" s="50"/>
      <c r="AX44" s="49"/>
      <c r="AY44" s="50"/>
      <c r="AZ44" s="49"/>
      <c r="BA44" s="50"/>
      <c r="BB44" s="49"/>
      <c r="BC44" s="50"/>
      <c r="BD44" s="49"/>
      <c r="BE44" s="50"/>
      <c r="BF44" s="49"/>
      <c r="BG44" s="50"/>
      <c r="BH44" s="49"/>
      <c r="BI44" s="50"/>
      <c r="BJ44" s="49"/>
      <c r="BK44" s="51"/>
    </row>
    <row r="45" spans="1:63" ht="39.75" customHeight="1" x14ac:dyDescent="0.2">
      <c r="A45" s="8"/>
      <c r="B45" s="38" t="s">
        <v>158</v>
      </c>
      <c r="C45" s="230" t="s">
        <v>159</v>
      </c>
      <c r="D45" s="103">
        <f>2000*1.12</f>
        <v>2240</v>
      </c>
      <c r="E45" s="38" t="s">
        <v>69</v>
      </c>
      <c r="F45" s="38" t="s">
        <v>80</v>
      </c>
      <c r="G45" s="39">
        <f t="shared" si="44"/>
        <v>0.89285714299999996</v>
      </c>
      <c r="H45" s="39">
        <f t="shared" si="45"/>
        <v>0</v>
      </c>
      <c r="I45" s="39">
        <f t="shared" si="46"/>
        <v>0</v>
      </c>
      <c r="J45" s="39">
        <f t="shared" si="47"/>
        <v>0.10714285699999999</v>
      </c>
      <c r="K45" s="38" t="s">
        <v>63</v>
      </c>
      <c r="L45" s="40">
        <v>44802</v>
      </c>
      <c r="M45" s="40">
        <v>45412</v>
      </c>
      <c r="N45" s="38" t="s">
        <v>64</v>
      </c>
      <c r="O45" s="10"/>
      <c r="P45" s="7">
        <v>1</v>
      </c>
      <c r="Q45" s="41">
        <f t="shared" ref="Q45:T45" si="52">ROUND(G45*$D45,2)</f>
        <v>2000</v>
      </c>
      <c r="R45" s="41">
        <f t="shared" si="52"/>
        <v>0</v>
      </c>
      <c r="S45" s="41">
        <f t="shared" si="52"/>
        <v>0</v>
      </c>
      <c r="T45" s="41">
        <f t="shared" si="52"/>
        <v>240</v>
      </c>
      <c r="U45" s="41">
        <f t="shared" si="49"/>
        <v>2240</v>
      </c>
      <c r="V45" s="14">
        <f t="shared" si="50"/>
        <v>0</v>
      </c>
      <c r="W45" s="7"/>
      <c r="X45" s="42" t="s">
        <v>65</v>
      </c>
      <c r="Y45" s="38" t="s">
        <v>160</v>
      </c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7"/>
      <c r="AL45" s="94"/>
      <c r="AM45" s="48"/>
      <c r="AN45" s="49"/>
      <c r="AO45" s="50"/>
      <c r="AP45" s="49"/>
      <c r="AQ45" s="50"/>
      <c r="AR45" s="49"/>
      <c r="AS45" s="50"/>
      <c r="AT45" s="49"/>
      <c r="AU45" s="50"/>
      <c r="AV45" s="49"/>
      <c r="AW45" s="50"/>
      <c r="AX45" s="49"/>
      <c r="AY45" s="50"/>
      <c r="AZ45" s="49"/>
      <c r="BA45" s="50"/>
      <c r="BB45" s="49"/>
      <c r="BC45" s="50"/>
      <c r="BD45" s="49"/>
      <c r="BE45" s="50"/>
      <c r="BF45" s="49"/>
      <c r="BG45" s="50"/>
      <c r="BH45" s="49"/>
      <c r="BI45" s="50"/>
      <c r="BJ45" s="49"/>
      <c r="BK45" s="51"/>
    </row>
    <row r="46" spans="1:63" ht="19.5" customHeight="1" x14ac:dyDescent="0.2">
      <c r="A46" s="8"/>
      <c r="B46" s="104" t="s">
        <v>161</v>
      </c>
      <c r="C46" s="231" t="s">
        <v>162</v>
      </c>
      <c r="D46" s="105">
        <f>96000*1.12</f>
        <v>107520.00000000001</v>
      </c>
      <c r="E46" s="104" t="s">
        <v>77</v>
      </c>
      <c r="F46" s="104" t="s">
        <v>62</v>
      </c>
      <c r="G46" s="106">
        <f t="shared" si="44"/>
        <v>0.46579531350148357</v>
      </c>
      <c r="H46" s="106">
        <f t="shared" si="45"/>
        <v>0.4270618294985164</v>
      </c>
      <c r="I46" s="106">
        <f t="shared" si="46"/>
        <v>0</v>
      </c>
      <c r="J46" s="106">
        <f t="shared" si="47"/>
        <v>0.10714285699999999</v>
      </c>
      <c r="K46" s="104" t="s">
        <v>63</v>
      </c>
      <c r="L46" s="107">
        <v>44811</v>
      </c>
      <c r="M46" s="107">
        <v>45383</v>
      </c>
      <c r="N46" s="38" t="s">
        <v>64</v>
      </c>
      <c r="O46" s="10"/>
      <c r="P46" s="7">
        <v>2</v>
      </c>
      <c r="Q46" s="41">
        <f t="shared" ref="Q46:T46" si="53">ROUND(G46*$D46,2)</f>
        <v>50082.31</v>
      </c>
      <c r="R46" s="41">
        <f t="shared" si="53"/>
        <v>45917.69</v>
      </c>
      <c r="S46" s="41">
        <f t="shared" si="53"/>
        <v>0</v>
      </c>
      <c r="T46" s="41">
        <f t="shared" si="53"/>
        <v>11520</v>
      </c>
      <c r="U46" s="41">
        <f t="shared" si="49"/>
        <v>107520</v>
      </c>
      <c r="V46" s="14">
        <f t="shared" si="50"/>
        <v>0</v>
      </c>
      <c r="W46" s="7"/>
      <c r="X46" s="42" t="s">
        <v>71</v>
      </c>
      <c r="Y46" s="38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7"/>
      <c r="AL46" s="94"/>
      <c r="AM46" s="48"/>
      <c r="AN46" s="49"/>
      <c r="AO46" s="50"/>
      <c r="AP46" s="49"/>
      <c r="AQ46" s="50"/>
      <c r="AR46" s="49"/>
      <c r="AS46" s="50"/>
      <c r="AT46" s="49"/>
      <c r="AU46" s="50"/>
      <c r="AV46" s="49"/>
      <c r="AW46" s="50"/>
      <c r="AX46" s="49"/>
      <c r="AY46" s="50"/>
      <c r="AZ46" s="49"/>
      <c r="BA46" s="50"/>
      <c r="BB46" s="49"/>
      <c r="BC46" s="50"/>
      <c r="BD46" s="49"/>
      <c r="BE46" s="50"/>
      <c r="BF46" s="49"/>
      <c r="BG46" s="50"/>
      <c r="BH46" s="49"/>
      <c r="BI46" s="50"/>
      <c r="BJ46" s="49"/>
      <c r="BK46" s="51"/>
    </row>
    <row r="47" spans="1:63" ht="39.75" customHeight="1" x14ac:dyDescent="0.2">
      <c r="A47" s="8"/>
      <c r="B47" s="38" t="s">
        <v>163</v>
      </c>
      <c r="C47" s="230" t="s">
        <v>164</v>
      </c>
      <c r="D47" s="103">
        <v>40000</v>
      </c>
      <c r="E47" s="38" t="s">
        <v>69</v>
      </c>
      <c r="F47" s="38" t="s">
        <v>80</v>
      </c>
      <c r="G47" s="39">
        <f t="shared" si="44"/>
        <v>0.89285714299999996</v>
      </c>
      <c r="H47" s="39">
        <f t="shared" si="45"/>
        <v>0</v>
      </c>
      <c r="I47" s="39">
        <f t="shared" si="46"/>
        <v>0</v>
      </c>
      <c r="J47" s="39">
        <f t="shared" si="47"/>
        <v>0.10714285699999999</v>
      </c>
      <c r="K47" s="38" t="s">
        <v>63</v>
      </c>
      <c r="L47" s="40">
        <v>44583</v>
      </c>
      <c r="M47" s="40">
        <v>45000</v>
      </c>
      <c r="N47" s="38" t="s">
        <v>64</v>
      </c>
      <c r="O47" s="10"/>
      <c r="P47" s="7">
        <v>1</v>
      </c>
      <c r="Q47" s="41">
        <f t="shared" ref="Q47:T47" si="54">ROUND(G47*$D47,2)</f>
        <v>35714.29</v>
      </c>
      <c r="R47" s="41">
        <f t="shared" si="54"/>
        <v>0</v>
      </c>
      <c r="S47" s="41">
        <f t="shared" si="54"/>
        <v>0</v>
      </c>
      <c r="T47" s="41">
        <f t="shared" si="54"/>
        <v>4285.71</v>
      </c>
      <c r="U47" s="41">
        <f t="shared" si="49"/>
        <v>40000</v>
      </c>
      <c r="V47" s="14">
        <f t="shared" si="50"/>
        <v>0</v>
      </c>
      <c r="W47" s="7"/>
      <c r="X47" s="42" t="s">
        <v>71</v>
      </c>
      <c r="Y47" s="38" t="s">
        <v>165</v>
      </c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7"/>
      <c r="AL47" s="94"/>
      <c r="AM47" s="48"/>
      <c r="AN47" s="49"/>
      <c r="AO47" s="50"/>
      <c r="AP47" s="49"/>
      <c r="AQ47" s="50"/>
      <c r="AR47" s="49"/>
      <c r="AS47" s="50"/>
      <c r="AT47" s="49"/>
      <c r="AU47" s="50"/>
      <c r="AV47" s="49"/>
      <c r="AW47" s="50"/>
      <c r="AX47" s="49"/>
      <c r="AY47" s="50"/>
      <c r="AZ47" s="49"/>
      <c r="BA47" s="50"/>
      <c r="BB47" s="49"/>
      <c r="BC47" s="50"/>
      <c r="BD47" s="49"/>
      <c r="BE47" s="50"/>
      <c r="BF47" s="49"/>
      <c r="BG47" s="50"/>
      <c r="BH47" s="49"/>
      <c r="BI47" s="50"/>
      <c r="BJ47" s="49"/>
      <c r="BK47" s="51"/>
    </row>
    <row r="48" spans="1:63" ht="19.5" hidden="1" customHeight="1" x14ac:dyDescent="0.2">
      <c r="A48" s="8"/>
      <c r="B48" s="104" t="s">
        <v>166</v>
      </c>
      <c r="C48" s="231" t="s">
        <v>167</v>
      </c>
      <c r="D48" s="105">
        <f>(413108*1.12)-292000-15000-1200</f>
        <v>154480.96000000002</v>
      </c>
      <c r="E48" s="104" t="s">
        <v>69</v>
      </c>
      <c r="F48" s="104" t="s">
        <v>80</v>
      </c>
      <c r="G48" s="106">
        <f t="shared" si="44"/>
        <v>0.46579531350148357</v>
      </c>
      <c r="H48" s="106">
        <f t="shared" si="45"/>
        <v>0.4270618294985164</v>
      </c>
      <c r="I48" s="106">
        <f t="shared" si="46"/>
        <v>0</v>
      </c>
      <c r="J48" s="106">
        <f t="shared" si="47"/>
        <v>0.10714285699999999</v>
      </c>
      <c r="K48" s="104" t="s">
        <v>63</v>
      </c>
      <c r="L48" s="107">
        <v>44564</v>
      </c>
      <c r="M48" s="107">
        <v>46004</v>
      </c>
      <c r="N48" s="38" t="s">
        <v>64</v>
      </c>
      <c r="O48" s="10"/>
      <c r="P48" s="7">
        <v>2</v>
      </c>
      <c r="Q48" s="41">
        <f t="shared" ref="Q48:T48" si="55">ROUND(G48*$D48,2)</f>
        <v>71956.509999999995</v>
      </c>
      <c r="R48" s="41">
        <f t="shared" si="55"/>
        <v>65972.92</v>
      </c>
      <c r="S48" s="41">
        <f t="shared" si="55"/>
        <v>0</v>
      </c>
      <c r="T48" s="41">
        <f t="shared" si="55"/>
        <v>16551.53</v>
      </c>
      <c r="U48" s="41">
        <f t="shared" si="49"/>
        <v>154480.95999999999</v>
      </c>
      <c r="V48" s="14">
        <f t="shared" si="50"/>
        <v>0</v>
      </c>
      <c r="W48" s="14"/>
      <c r="X48" s="42" t="s">
        <v>71</v>
      </c>
      <c r="Y48" s="38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7"/>
      <c r="AL48" s="94"/>
      <c r="AM48" s="48"/>
      <c r="AN48" s="49"/>
      <c r="AO48" s="50"/>
      <c r="AP48" s="49"/>
      <c r="AQ48" s="50"/>
      <c r="AR48" s="49"/>
      <c r="AS48" s="50"/>
      <c r="AT48" s="49"/>
      <c r="AU48" s="50"/>
      <c r="AV48" s="49"/>
      <c r="AW48" s="50"/>
      <c r="AX48" s="49"/>
      <c r="AY48" s="50"/>
      <c r="AZ48" s="49"/>
      <c r="BA48" s="50"/>
      <c r="BB48" s="49"/>
      <c r="BC48" s="50"/>
      <c r="BD48" s="49"/>
      <c r="BE48" s="50"/>
      <c r="BF48" s="49"/>
      <c r="BG48" s="50"/>
      <c r="BH48" s="49"/>
      <c r="BI48" s="50"/>
      <c r="BJ48" s="49"/>
      <c r="BK48" s="51"/>
    </row>
    <row r="49" spans="1:63" ht="24" hidden="1" customHeight="1" x14ac:dyDescent="0.2">
      <c r="A49" s="8"/>
      <c r="B49" s="38" t="s">
        <v>168</v>
      </c>
      <c r="C49" s="232" t="s">
        <v>169</v>
      </c>
      <c r="D49" s="103">
        <f>1300*10</f>
        <v>13000</v>
      </c>
      <c r="E49" s="38" t="s">
        <v>69</v>
      </c>
      <c r="F49" s="38" t="s">
        <v>80</v>
      </c>
      <c r="G49" s="39">
        <f t="shared" si="44"/>
        <v>0.89285714299999996</v>
      </c>
      <c r="H49" s="39">
        <f t="shared" si="45"/>
        <v>0</v>
      </c>
      <c r="I49" s="39">
        <f t="shared" si="46"/>
        <v>0</v>
      </c>
      <c r="J49" s="39">
        <f t="shared" si="47"/>
        <v>0.10714285699999999</v>
      </c>
      <c r="K49" s="38" t="s">
        <v>63</v>
      </c>
      <c r="L49" s="52">
        <v>44351</v>
      </c>
      <c r="M49" s="52">
        <v>44796</v>
      </c>
      <c r="N49" s="38" t="s">
        <v>70</v>
      </c>
      <c r="O49" s="10"/>
      <c r="P49" s="7">
        <v>1</v>
      </c>
      <c r="Q49" s="41">
        <f t="shared" ref="Q49:T49" si="56">ROUND(G49*$D49,2)</f>
        <v>11607.14</v>
      </c>
      <c r="R49" s="41">
        <f t="shared" si="56"/>
        <v>0</v>
      </c>
      <c r="S49" s="41">
        <f t="shared" si="56"/>
        <v>0</v>
      </c>
      <c r="T49" s="41">
        <f t="shared" si="56"/>
        <v>1392.86</v>
      </c>
      <c r="U49" s="41">
        <f t="shared" si="49"/>
        <v>13000</v>
      </c>
      <c r="V49" s="14">
        <f t="shared" si="50"/>
        <v>0</v>
      </c>
      <c r="W49" s="7"/>
      <c r="X49" s="42" t="s">
        <v>71</v>
      </c>
      <c r="Y49" s="38" t="s">
        <v>170</v>
      </c>
      <c r="Z49" s="45">
        <v>44354</v>
      </c>
      <c r="AA49" s="45" t="s">
        <v>73</v>
      </c>
      <c r="AB49" s="45" t="s">
        <v>73</v>
      </c>
      <c r="AC49" s="45">
        <v>44369</v>
      </c>
      <c r="AD49" s="45">
        <v>44382</v>
      </c>
      <c r="AE49" s="45">
        <v>44383</v>
      </c>
      <c r="AF49" s="45" t="s">
        <v>73</v>
      </c>
      <c r="AG49" s="45">
        <v>44384</v>
      </c>
      <c r="AH49" s="45" t="s">
        <v>73</v>
      </c>
      <c r="AI49" s="45">
        <v>44414</v>
      </c>
      <c r="AJ49" s="45">
        <v>44779</v>
      </c>
      <c r="AK49" s="47">
        <v>10571.88</v>
      </c>
      <c r="AL49" s="94" t="s">
        <v>171</v>
      </c>
      <c r="AM49" s="108">
        <v>880.99</v>
      </c>
      <c r="AN49" s="109">
        <v>44496</v>
      </c>
      <c r="AO49" s="108">
        <v>880.99</v>
      </c>
      <c r="AP49" s="109">
        <v>44511</v>
      </c>
      <c r="AQ49" s="108">
        <v>880.99</v>
      </c>
      <c r="AR49" s="49"/>
      <c r="AS49" s="50"/>
      <c r="AT49" s="49"/>
      <c r="AU49" s="50"/>
      <c r="AV49" s="49"/>
      <c r="AW49" s="50"/>
      <c r="AX49" s="49"/>
      <c r="AY49" s="50"/>
      <c r="AZ49" s="49"/>
      <c r="BA49" s="50"/>
      <c r="BB49" s="49"/>
      <c r="BC49" s="50"/>
      <c r="BD49" s="49"/>
      <c r="BE49" s="50"/>
      <c r="BF49" s="49"/>
      <c r="BG49" s="50"/>
      <c r="BH49" s="49"/>
      <c r="BI49" s="50"/>
      <c r="BJ49" s="49"/>
      <c r="BK49" s="51"/>
    </row>
    <row r="50" spans="1:63" ht="19.5" customHeight="1" x14ac:dyDescent="0.2">
      <c r="A50" s="8"/>
      <c r="B50" s="38" t="s">
        <v>172</v>
      </c>
      <c r="C50" s="230" t="s">
        <v>173</v>
      </c>
      <c r="D50" s="103">
        <f>2016*48</f>
        <v>96768</v>
      </c>
      <c r="E50" s="38" t="s">
        <v>69</v>
      </c>
      <c r="F50" s="38" t="s">
        <v>80</v>
      </c>
      <c r="G50" s="39">
        <f t="shared" si="44"/>
        <v>0.89285714299999996</v>
      </c>
      <c r="H50" s="39">
        <f t="shared" si="45"/>
        <v>0</v>
      </c>
      <c r="I50" s="39">
        <f t="shared" si="46"/>
        <v>0</v>
      </c>
      <c r="J50" s="39">
        <f t="shared" si="47"/>
        <v>0.10714285699999999</v>
      </c>
      <c r="K50" s="38" t="s">
        <v>63</v>
      </c>
      <c r="L50" s="40">
        <v>44658</v>
      </c>
      <c r="M50" s="40">
        <v>45441</v>
      </c>
      <c r="N50" s="38" t="s">
        <v>64</v>
      </c>
      <c r="O50" s="10"/>
      <c r="P50" s="7">
        <v>1</v>
      </c>
      <c r="Q50" s="41">
        <f t="shared" ref="Q50:T50" si="57">ROUND(G50*$D50,2)</f>
        <v>86400</v>
      </c>
      <c r="R50" s="41">
        <f t="shared" si="57"/>
        <v>0</v>
      </c>
      <c r="S50" s="41">
        <f t="shared" si="57"/>
        <v>0</v>
      </c>
      <c r="T50" s="41">
        <f t="shared" si="57"/>
        <v>10368</v>
      </c>
      <c r="U50" s="41">
        <f t="shared" si="49"/>
        <v>96768</v>
      </c>
      <c r="V50" s="14">
        <f t="shared" si="50"/>
        <v>0</v>
      </c>
      <c r="W50" s="7"/>
      <c r="X50" s="42" t="s">
        <v>71</v>
      </c>
      <c r="Y50" s="38" t="s">
        <v>174</v>
      </c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7"/>
      <c r="AL50" s="94"/>
      <c r="AM50" s="48"/>
      <c r="AN50" s="49"/>
      <c r="AO50" s="50"/>
      <c r="AP50" s="49"/>
      <c r="AQ50" s="50"/>
      <c r="AR50" s="49"/>
      <c r="AS50" s="50"/>
      <c r="AT50" s="49"/>
      <c r="AU50" s="50"/>
      <c r="AV50" s="49"/>
      <c r="AW50" s="50"/>
      <c r="AX50" s="49"/>
      <c r="AY50" s="50"/>
      <c r="AZ50" s="49"/>
      <c r="BA50" s="50"/>
      <c r="BB50" s="49"/>
      <c r="BC50" s="50"/>
      <c r="BD50" s="49"/>
      <c r="BE50" s="50"/>
      <c r="BF50" s="49"/>
      <c r="BG50" s="50"/>
      <c r="BH50" s="49"/>
      <c r="BI50" s="50"/>
      <c r="BJ50" s="49"/>
      <c r="BK50" s="51"/>
    </row>
    <row r="51" spans="1:63" ht="19.5" customHeight="1" x14ac:dyDescent="0.2">
      <c r="A51" s="8"/>
      <c r="B51" s="104" t="s">
        <v>175</v>
      </c>
      <c r="C51" s="231" t="s">
        <v>176</v>
      </c>
      <c r="D51" s="105">
        <f>(1200*3*4)+((50000*1%)*4)</f>
        <v>16400</v>
      </c>
      <c r="E51" s="104" t="s">
        <v>69</v>
      </c>
      <c r="F51" s="104" t="s">
        <v>80</v>
      </c>
      <c r="G51" s="106">
        <f t="shared" si="44"/>
        <v>0.89285714299999996</v>
      </c>
      <c r="H51" s="106">
        <f t="shared" si="45"/>
        <v>0</v>
      </c>
      <c r="I51" s="106">
        <f t="shared" si="46"/>
        <v>0</v>
      </c>
      <c r="J51" s="106">
        <f t="shared" si="47"/>
        <v>0.10714285699999999</v>
      </c>
      <c r="K51" s="104" t="s">
        <v>63</v>
      </c>
      <c r="L51" s="110">
        <v>44595</v>
      </c>
      <c r="M51" s="107">
        <v>45996</v>
      </c>
      <c r="N51" s="38" t="s">
        <v>64</v>
      </c>
      <c r="O51" s="10"/>
      <c r="P51" s="7">
        <v>1</v>
      </c>
      <c r="Q51" s="41">
        <f t="shared" ref="Q51:T51" si="58">ROUND(G51*$D51,2)</f>
        <v>14642.86</v>
      </c>
      <c r="R51" s="41">
        <f t="shared" si="58"/>
        <v>0</v>
      </c>
      <c r="S51" s="41">
        <f t="shared" si="58"/>
        <v>0</v>
      </c>
      <c r="T51" s="41">
        <f t="shared" si="58"/>
        <v>1757.14</v>
      </c>
      <c r="U51" s="41">
        <f t="shared" si="49"/>
        <v>16400</v>
      </c>
      <c r="V51" s="14">
        <f t="shared" si="50"/>
        <v>0</v>
      </c>
      <c r="W51" s="7"/>
      <c r="X51" s="42" t="s">
        <v>71</v>
      </c>
      <c r="Y51" s="38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7"/>
      <c r="AL51" s="94"/>
      <c r="AM51" s="48"/>
      <c r="AN51" s="49"/>
      <c r="AO51" s="50"/>
      <c r="AP51" s="49"/>
      <c r="AQ51" s="50"/>
      <c r="AR51" s="49"/>
      <c r="AS51" s="50"/>
      <c r="AT51" s="49"/>
      <c r="AU51" s="50"/>
      <c r="AV51" s="49"/>
      <c r="AW51" s="50"/>
      <c r="AX51" s="49"/>
      <c r="AY51" s="50"/>
      <c r="AZ51" s="49"/>
      <c r="BA51" s="50"/>
      <c r="BB51" s="49"/>
      <c r="BC51" s="50"/>
      <c r="BD51" s="49"/>
      <c r="BE51" s="50"/>
      <c r="BF51" s="49"/>
      <c r="BG51" s="50"/>
      <c r="BH51" s="49"/>
      <c r="BI51" s="50"/>
      <c r="BJ51" s="49"/>
      <c r="BK51" s="51"/>
    </row>
    <row r="52" spans="1:63" ht="19.5" customHeight="1" x14ac:dyDescent="0.2">
      <c r="A52" s="8"/>
      <c r="B52" s="104" t="s">
        <v>177</v>
      </c>
      <c r="C52" s="231" t="s">
        <v>178</v>
      </c>
      <c r="D52" s="105">
        <f>3000*3*4</f>
        <v>36000</v>
      </c>
      <c r="E52" s="104" t="s">
        <v>69</v>
      </c>
      <c r="F52" s="104" t="s">
        <v>80</v>
      </c>
      <c r="G52" s="106">
        <f t="shared" si="44"/>
        <v>0.89285714299999996</v>
      </c>
      <c r="H52" s="106">
        <f t="shared" si="45"/>
        <v>0</v>
      </c>
      <c r="I52" s="106">
        <f t="shared" si="46"/>
        <v>0</v>
      </c>
      <c r="J52" s="106">
        <f t="shared" si="47"/>
        <v>0.10714285699999999</v>
      </c>
      <c r="K52" s="104" t="s">
        <v>63</v>
      </c>
      <c r="L52" s="110">
        <v>44494</v>
      </c>
      <c r="M52" s="107">
        <v>46022</v>
      </c>
      <c r="N52" s="38" t="s">
        <v>64</v>
      </c>
      <c r="O52" s="10"/>
      <c r="P52" s="7">
        <v>1</v>
      </c>
      <c r="Q52" s="41">
        <f t="shared" ref="Q52:T52" si="59">ROUND(G52*$D52,2)</f>
        <v>32142.86</v>
      </c>
      <c r="R52" s="41">
        <f t="shared" si="59"/>
        <v>0</v>
      </c>
      <c r="S52" s="41">
        <f t="shared" si="59"/>
        <v>0</v>
      </c>
      <c r="T52" s="41">
        <f t="shared" si="59"/>
        <v>3857.14</v>
      </c>
      <c r="U52" s="41">
        <f t="shared" si="49"/>
        <v>36000</v>
      </c>
      <c r="V52" s="14">
        <f t="shared" si="50"/>
        <v>0</v>
      </c>
      <c r="W52" s="7"/>
      <c r="X52" s="42" t="s">
        <v>71</v>
      </c>
      <c r="Y52" s="38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7"/>
      <c r="AL52" s="94"/>
      <c r="AM52" s="48"/>
      <c r="AN52" s="49"/>
      <c r="AO52" s="50"/>
      <c r="AP52" s="49"/>
      <c r="AQ52" s="50"/>
      <c r="AR52" s="49"/>
      <c r="AS52" s="50"/>
      <c r="AT52" s="49"/>
      <c r="AU52" s="50"/>
      <c r="AV52" s="49"/>
      <c r="AW52" s="50"/>
      <c r="AX52" s="49"/>
      <c r="AY52" s="50"/>
      <c r="AZ52" s="49"/>
      <c r="BA52" s="50"/>
      <c r="BB52" s="49"/>
      <c r="BC52" s="50"/>
      <c r="BD52" s="49"/>
      <c r="BE52" s="50"/>
      <c r="BF52" s="49"/>
      <c r="BG52" s="50"/>
      <c r="BH52" s="49"/>
      <c r="BI52" s="50"/>
      <c r="BJ52" s="49"/>
      <c r="BK52" s="51"/>
    </row>
    <row r="53" spans="1:63" ht="19.5" customHeight="1" x14ac:dyDescent="0.2">
      <c r="A53" s="8"/>
      <c r="B53" s="38" t="s">
        <v>179</v>
      </c>
      <c r="C53" s="230" t="s">
        <v>180</v>
      </c>
      <c r="D53" s="103">
        <f>1600*3*36</f>
        <v>172800</v>
      </c>
      <c r="E53" s="38" t="s">
        <v>77</v>
      </c>
      <c r="F53" s="38" t="s">
        <v>62</v>
      </c>
      <c r="G53" s="39">
        <f t="shared" si="44"/>
        <v>0.89285714299999996</v>
      </c>
      <c r="H53" s="39">
        <f t="shared" si="45"/>
        <v>0</v>
      </c>
      <c r="I53" s="39">
        <f t="shared" si="46"/>
        <v>0</v>
      </c>
      <c r="J53" s="39">
        <f t="shared" si="47"/>
        <v>0.10714285699999999</v>
      </c>
      <c r="K53" s="38" t="s">
        <v>63</v>
      </c>
      <c r="L53" s="40">
        <v>44588</v>
      </c>
      <c r="M53" s="40">
        <v>45392</v>
      </c>
      <c r="N53" s="38" t="s">
        <v>64</v>
      </c>
      <c r="O53" s="10"/>
      <c r="P53" s="7">
        <v>1</v>
      </c>
      <c r="Q53" s="41">
        <f t="shared" ref="Q53:T53" si="60">ROUND(G53*$D53,2)</f>
        <v>154285.71</v>
      </c>
      <c r="R53" s="41">
        <f t="shared" si="60"/>
        <v>0</v>
      </c>
      <c r="S53" s="41">
        <f t="shared" si="60"/>
        <v>0</v>
      </c>
      <c r="T53" s="41">
        <f t="shared" si="60"/>
        <v>18514.29</v>
      </c>
      <c r="U53" s="41">
        <f t="shared" si="49"/>
        <v>172800</v>
      </c>
      <c r="V53" s="14">
        <f t="shared" si="50"/>
        <v>0</v>
      </c>
      <c r="W53" s="7"/>
      <c r="X53" s="42" t="s">
        <v>71</v>
      </c>
      <c r="Y53" s="38" t="s">
        <v>181</v>
      </c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7"/>
      <c r="AL53" s="94"/>
      <c r="AM53" s="48"/>
      <c r="AN53" s="49"/>
      <c r="AO53" s="50"/>
      <c r="AP53" s="49"/>
      <c r="AQ53" s="50"/>
      <c r="AR53" s="49"/>
      <c r="AS53" s="50"/>
      <c r="AT53" s="49"/>
      <c r="AU53" s="50"/>
      <c r="AV53" s="49"/>
      <c r="AW53" s="50"/>
      <c r="AX53" s="49"/>
      <c r="AY53" s="50"/>
      <c r="AZ53" s="49"/>
      <c r="BA53" s="50"/>
      <c r="BB53" s="49"/>
      <c r="BC53" s="50"/>
      <c r="BD53" s="49"/>
      <c r="BE53" s="50"/>
      <c r="BF53" s="49"/>
      <c r="BG53" s="50"/>
      <c r="BH53" s="49"/>
      <c r="BI53" s="50"/>
      <c r="BJ53" s="49"/>
      <c r="BK53" s="51"/>
    </row>
    <row r="54" spans="1:63" ht="19.5" customHeight="1" x14ac:dyDescent="0.2">
      <c r="A54" s="8"/>
      <c r="B54" s="38" t="s">
        <v>182</v>
      </c>
      <c r="C54" s="230" t="s">
        <v>183</v>
      </c>
      <c r="D54" s="103">
        <f>1000*36</f>
        <v>36000</v>
      </c>
      <c r="E54" s="38" t="s">
        <v>69</v>
      </c>
      <c r="F54" s="38" t="s">
        <v>80</v>
      </c>
      <c r="G54" s="39">
        <f t="shared" si="44"/>
        <v>0.89285714299999996</v>
      </c>
      <c r="H54" s="39">
        <f t="shared" si="45"/>
        <v>0</v>
      </c>
      <c r="I54" s="39">
        <f t="shared" si="46"/>
        <v>0</v>
      </c>
      <c r="J54" s="39">
        <f t="shared" si="47"/>
        <v>0.10714285699999999</v>
      </c>
      <c r="K54" s="38" t="s">
        <v>63</v>
      </c>
      <c r="L54" s="40">
        <v>44602</v>
      </c>
      <c r="M54" s="40">
        <v>45688</v>
      </c>
      <c r="N54" s="38" t="s">
        <v>64</v>
      </c>
      <c r="O54" s="10"/>
      <c r="P54" s="7">
        <v>1</v>
      </c>
      <c r="Q54" s="41">
        <f t="shared" ref="Q54:T54" si="61">ROUND(G54*$D54,2)</f>
        <v>32142.86</v>
      </c>
      <c r="R54" s="41">
        <f t="shared" si="61"/>
        <v>0</v>
      </c>
      <c r="S54" s="41">
        <f t="shared" si="61"/>
        <v>0</v>
      </c>
      <c r="T54" s="41">
        <f t="shared" si="61"/>
        <v>3857.14</v>
      </c>
      <c r="U54" s="41">
        <f t="shared" si="49"/>
        <v>36000</v>
      </c>
      <c r="V54" s="14">
        <f t="shared" si="50"/>
        <v>0</v>
      </c>
      <c r="W54" s="7"/>
      <c r="X54" s="42" t="s">
        <v>71</v>
      </c>
      <c r="Y54" s="111" t="s">
        <v>184</v>
      </c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7"/>
      <c r="AL54" s="94"/>
      <c r="AM54" s="48"/>
      <c r="AN54" s="49"/>
      <c r="AO54" s="50"/>
      <c r="AP54" s="49"/>
      <c r="AQ54" s="50"/>
      <c r="AR54" s="49"/>
      <c r="AS54" s="50"/>
      <c r="AT54" s="49"/>
      <c r="AU54" s="50"/>
      <c r="AV54" s="49"/>
      <c r="AW54" s="50"/>
      <c r="AX54" s="49"/>
      <c r="AY54" s="50"/>
      <c r="AZ54" s="49"/>
      <c r="BA54" s="50"/>
      <c r="BB54" s="49"/>
      <c r="BC54" s="50"/>
      <c r="BD54" s="49"/>
      <c r="BE54" s="50"/>
      <c r="BF54" s="49"/>
      <c r="BG54" s="50"/>
      <c r="BH54" s="49"/>
      <c r="BI54" s="50"/>
      <c r="BJ54" s="49"/>
      <c r="BK54" s="51"/>
    </row>
    <row r="55" spans="1:63" ht="19.5" customHeight="1" x14ac:dyDescent="0.2">
      <c r="A55" s="8"/>
      <c r="B55" s="104" t="s">
        <v>185</v>
      </c>
      <c r="C55" s="231" t="s">
        <v>186</v>
      </c>
      <c r="D55" s="105">
        <v>10000</v>
      </c>
      <c r="E55" s="104" t="s">
        <v>69</v>
      </c>
      <c r="F55" s="104" t="s">
        <v>80</v>
      </c>
      <c r="G55" s="106">
        <f t="shared" si="44"/>
        <v>0.89285714299999996</v>
      </c>
      <c r="H55" s="106">
        <f t="shared" si="45"/>
        <v>0</v>
      </c>
      <c r="I55" s="106">
        <f t="shared" si="46"/>
        <v>0</v>
      </c>
      <c r="J55" s="106">
        <f t="shared" si="47"/>
        <v>0.10714285699999999</v>
      </c>
      <c r="K55" s="104" t="s">
        <v>63</v>
      </c>
      <c r="L55" s="107">
        <v>44795</v>
      </c>
      <c r="M55" s="107">
        <v>44621</v>
      </c>
      <c r="N55" s="38" t="s">
        <v>64</v>
      </c>
      <c r="O55" s="10"/>
      <c r="P55" s="7">
        <v>1</v>
      </c>
      <c r="Q55" s="41">
        <f t="shared" ref="Q55:T55" si="62">ROUND(G55*$D55,2)</f>
        <v>8928.57</v>
      </c>
      <c r="R55" s="41">
        <f t="shared" si="62"/>
        <v>0</v>
      </c>
      <c r="S55" s="41">
        <f t="shared" si="62"/>
        <v>0</v>
      </c>
      <c r="T55" s="41">
        <f t="shared" si="62"/>
        <v>1071.43</v>
      </c>
      <c r="U55" s="41">
        <f t="shared" si="49"/>
        <v>10000</v>
      </c>
      <c r="V55" s="14">
        <f t="shared" si="50"/>
        <v>0</v>
      </c>
      <c r="W55" s="7"/>
      <c r="X55" s="42" t="s">
        <v>71</v>
      </c>
      <c r="Y55" s="38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7"/>
      <c r="AL55" s="94"/>
      <c r="AM55" s="48"/>
      <c r="AN55" s="49"/>
      <c r="AO55" s="50"/>
      <c r="AP55" s="49"/>
      <c r="AQ55" s="50"/>
      <c r="AR55" s="49"/>
      <c r="AS55" s="50"/>
      <c r="AT55" s="49"/>
      <c r="AU55" s="50"/>
      <c r="AV55" s="49"/>
      <c r="AW55" s="50"/>
      <c r="AX55" s="49"/>
      <c r="AY55" s="50"/>
      <c r="AZ55" s="49"/>
      <c r="BA55" s="50"/>
      <c r="BB55" s="49"/>
      <c r="BC55" s="50"/>
      <c r="BD55" s="49"/>
      <c r="BE55" s="50"/>
      <c r="BF55" s="49"/>
      <c r="BG55" s="50"/>
      <c r="BH55" s="49"/>
      <c r="BI55" s="50"/>
      <c r="BJ55" s="49"/>
      <c r="BK55" s="51"/>
    </row>
    <row r="56" spans="1:63" ht="19.5" customHeight="1" x14ac:dyDescent="0.2">
      <c r="A56" s="8"/>
      <c r="B56" s="38" t="s">
        <v>187</v>
      </c>
      <c r="C56" s="230" t="s">
        <v>188</v>
      </c>
      <c r="D56" s="103">
        <v>10000</v>
      </c>
      <c r="E56" s="38" t="s">
        <v>69</v>
      </c>
      <c r="F56" s="38" t="s">
        <v>80</v>
      </c>
      <c r="G56" s="39">
        <f t="shared" si="44"/>
        <v>0.89285714299999996</v>
      </c>
      <c r="H56" s="39">
        <f t="shared" si="45"/>
        <v>0</v>
      </c>
      <c r="I56" s="39">
        <f t="shared" si="46"/>
        <v>0</v>
      </c>
      <c r="J56" s="39">
        <f t="shared" si="47"/>
        <v>0.10714285699999999</v>
      </c>
      <c r="K56" s="38" t="s">
        <v>63</v>
      </c>
      <c r="L56" s="40">
        <v>44634</v>
      </c>
      <c r="M56" s="40">
        <v>45808</v>
      </c>
      <c r="N56" s="38" t="s">
        <v>64</v>
      </c>
      <c r="O56" s="10"/>
      <c r="P56" s="7">
        <v>1</v>
      </c>
      <c r="Q56" s="41">
        <f t="shared" ref="Q56:T56" si="63">ROUND(G56*$D56,2)</f>
        <v>8928.57</v>
      </c>
      <c r="R56" s="41">
        <f t="shared" si="63"/>
        <v>0</v>
      </c>
      <c r="S56" s="41">
        <f t="shared" si="63"/>
        <v>0</v>
      </c>
      <c r="T56" s="41">
        <f t="shared" si="63"/>
        <v>1071.43</v>
      </c>
      <c r="U56" s="41">
        <f t="shared" si="49"/>
        <v>10000</v>
      </c>
      <c r="V56" s="14">
        <f t="shared" si="50"/>
        <v>0</v>
      </c>
      <c r="W56" s="7"/>
      <c r="X56" s="42" t="s">
        <v>71</v>
      </c>
      <c r="Y56" s="38" t="s">
        <v>189</v>
      </c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7"/>
      <c r="AL56" s="94"/>
      <c r="AM56" s="48"/>
      <c r="AN56" s="49"/>
      <c r="AO56" s="50"/>
      <c r="AP56" s="49"/>
      <c r="AQ56" s="50"/>
      <c r="AR56" s="49"/>
      <c r="AS56" s="50"/>
      <c r="AT56" s="49"/>
      <c r="AU56" s="50"/>
      <c r="AV56" s="49"/>
      <c r="AW56" s="50"/>
      <c r="AX56" s="49"/>
      <c r="AY56" s="50"/>
      <c r="AZ56" s="49"/>
      <c r="BA56" s="50"/>
      <c r="BB56" s="49"/>
      <c r="BC56" s="50"/>
      <c r="BD56" s="49"/>
      <c r="BE56" s="50"/>
      <c r="BF56" s="49"/>
      <c r="BG56" s="50"/>
      <c r="BH56" s="49"/>
      <c r="BI56" s="50"/>
      <c r="BJ56" s="49"/>
      <c r="BK56" s="51"/>
    </row>
    <row r="57" spans="1:63" ht="39.75" customHeight="1" x14ac:dyDescent="0.2">
      <c r="A57" s="8"/>
      <c r="B57" s="38" t="s">
        <v>190</v>
      </c>
      <c r="C57" s="230" t="s">
        <v>191</v>
      </c>
      <c r="D57" s="103">
        <f>32212.5*1.12</f>
        <v>36078</v>
      </c>
      <c r="E57" s="38" t="s">
        <v>192</v>
      </c>
      <c r="F57" s="38" t="s">
        <v>80</v>
      </c>
      <c r="G57" s="39">
        <f t="shared" si="44"/>
        <v>0.89285714299999996</v>
      </c>
      <c r="H57" s="39">
        <f t="shared" si="45"/>
        <v>0</v>
      </c>
      <c r="I57" s="39">
        <f t="shared" si="46"/>
        <v>0</v>
      </c>
      <c r="J57" s="39">
        <f t="shared" si="47"/>
        <v>0.10714285699999999</v>
      </c>
      <c r="K57" s="38" t="s">
        <v>63</v>
      </c>
      <c r="L57" s="52">
        <v>44570</v>
      </c>
      <c r="M57" s="52">
        <v>45700</v>
      </c>
      <c r="N57" s="53" t="s">
        <v>70</v>
      </c>
      <c r="O57" s="10"/>
      <c r="P57" s="7">
        <v>1</v>
      </c>
      <c r="Q57" s="41">
        <f t="shared" ref="Q57:T57" si="64">ROUND(G57*$D57,2)</f>
        <v>32212.5</v>
      </c>
      <c r="R57" s="41">
        <f t="shared" si="64"/>
        <v>0</v>
      </c>
      <c r="S57" s="41">
        <f t="shared" si="64"/>
        <v>0</v>
      </c>
      <c r="T57" s="41">
        <f t="shared" si="64"/>
        <v>3865.5</v>
      </c>
      <c r="U57" s="41">
        <f t="shared" si="49"/>
        <v>36078</v>
      </c>
      <c r="V57" s="14">
        <f t="shared" si="50"/>
        <v>0</v>
      </c>
      <c r="W57" s="7"/>
      <c r="X57" s="42" t="s">
        <v>71</v>
      </c>
      <c r="Y57" s="38" t="s">
        <v>193</v>
      </c>
      <c r="Z57" s="53" t="s">
        <v>73</v>
      </c>
      <c r="AA57" s="53" t="s">
        <v>73</v>
      </c>
      <c r="AB57" s="53" t="s">
        <v>73</v>
      </c>
      <c r="AC57" s="55">
        <v>44456</v>
      </c>
      <c r="AD57" s="55">
        <v>44466</v>
      </c>
      <c r="AE57" s="112">
        <v>44468</v>
      </c>
      <c r="AF57" s="60">
        <v>44497</v>
      </c>
      <c r="AG57" s="55">
        <v>44515</v>
      </c>
      <c r="AH57" s="53" t="s">
        <v>73</v>
      </c>
      <c r="AI57" s="55">
        <v>44529</v>
      </c>
      <c r="AJ57" s="45">
        <f>AI57+365+365</f>
        <v>45259</v>
      </c>
      <c r="AK57" s="58">
        <v>36078</v>
      </c>
      <c r="AL57" s="113" t="s">
        <v>194</v>
      </c>
      <c r="AM57" s="48"/>
      <c r="AN57" s="49"/>
      <c r="AO57" s="50"/>
      <c r="AP57" s="49"/>
      <c r="AQ57" s="50"/>
      <c r="AR57" s="49"/>
      <c r="AS57" s="50"/>
      <c r="AT57" s="49"/>
      <c r="AU57" s="50"/>
      <c r="AV57" s="49"/>
      <c r="AW57" s="50"/>
      <c r="AX57" s="49"/>
      <c r="AY57" s="50"/>
      <c r="AZ57" s="49"/>
      <c r="BA57" s="50"/>
      <c r="BB57" s="49"/>
      <c r="BC57" s="50"/>
      <c r="BD57" s="49"/>
      <c r="BE57" s="50"/>
      <c r="BF57" s="49"/>
      <c r="BG57" s="50"/>
      <c r="BH57" s="49"/>
      <c r="BI57" s="50"/>
      <c r="BJ57" s="49"/>
      <c r="BK57" s="51"/>
    </row>
    <row r="58" spans="1:63" ht="39.75" customHeight="1" x14ac:dyDescent="0.2">
      <c r="A58" s="8"/>
      <c r="B58" s="38" t="s">
        <v>195</v>
      </c>
      <c r="C58" s="233" t="s">
        <v>359</v>
      </c>
      <c r="D58" s="101">
        <f>((686+2000+1800)*30*1.12)-D57-D47-D59</f>
        <v>54491.600000000006</v>
      </c>
      <c r="E58" s="38" t="s">
        <v>69</v>
      </c>
      <c r="F58" s="38" t="s">
        <v>80</v>
      </c>
      <c r="G58" s="39">
        <f t="shared" si="44"/>
        <v>0.89285714299999996</v>
      </c>
      <c r="H58" s="39">
        <f t="shared" si="45"/>
        <v>0</v>
      </c>
      <c r="I58" s="39">
        <f t="shared" si="46"/>
        <v>0</v>
      </c>
      <c r="J58" s="39">
        <f t="shared" si="47"/>
        <v>0.10714285699999999</v>
      </c>
      <c r="K58" s="38" t="s">
        <v>63</v>
      </c>
      <c r="L58" s="52">
        <v>44576</v>
      </c>
      <c r="M58" s="52">
        <v>45700</v>
      </c>
      <c r="N58" s="38" t="s">
        <v>64</v>
      </c>
      <c r="O58" s="10"/>
      <c r="P58" s="7">
        <v>1</v>
      </c>
      <c r="Q58" s="41">
        <f t="shared" ref="Q58:T58" si="65">ROUND(G58*$D58,2)</f>
        <v>48653.21</v>
      </c>
      <c r="R58" s="41">
        <f t="shared" si="65"/>
        <v>0</v>
      </c>
      <c r="S58" s="41">
        <f t="shared" si="65"/>
        <v>0</v>
      </c>
      <c r="T58" s="41">
        <f t="shared" si="65"/>
        <v>5838.39</v>
      </c>
      <c r="U58" s="41">
        <f t="shared" si="49"/>
        <v>54491.6</v>
      </c>
      <c r="V58" s="14">
        <f t="shared" si="50"/>
        <v>0</v>
      </c>
      <c r="W58" s="7"/>
      <c r="X58" s="42" t="s">
        <v>71</v>
      </c>
      <c r="Y58" s="38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7"/>
      <c r="AL58" s="94"/>
      <c r="AM58" s="48"/>
      <c r="AN58" s="49"/>
      <c r="AO58" s="50"/>
      <c r="AP58" s="49"/>
      <c r="AQ58" s="50"/>
      <c r="AR58" s="49"/>
      <c r="AS58" s="50"/>
      <c r="AT58" s="49"/>
      <c r="AU58" s="50"/>
      <c r="AV58" s="49"/>
      <c r="AW58" s="50"/>
      <c r="AX58" s="49"/>
      <c r="AY58" s="50"/>
      <c r="AZ58" s="49"/>
      <c r="BA58" s="50"/>
      <c r="BB58" s="49"/>
      <c r="BC58" s="50"/>
      <c r="BD58" s="49"/>
      <c r="BE58" s="50"/>
      <c r="BF58" s="49"/>
      <c r="BG58" s="50"/>
      <c r="BH58" s="49"/>
      <c r="BI58" s="50"/>
      <c r="BJ58" s="49"/>
      <c r="BK58" s="51"/>
    </row>
    <row r="59" spans="1:63" ht="19.5" customHeight="1" x14ac:dyDescent="0.2">
      <c r="A59" s="8"/>
      <c r="B59" s="38" t="s">
        <v>196</v>
      </c>
      <c r="C59" s="230" t="s">
        <v>197</v>
      </c>
      <c r="D59" s="103">
        <f>500*36*1.12</f>
        <v>20160.000000000004</v>
      </c>
      <c r="E59" s="38" t="s">
        <v>69</v>
      </c>
      <c r="F59" s="38" t="s">
        <v>80</v>
      </c>
      <c r="G59" s="39">
        <f t="shared" si="44"/>
        <v>0.89285714299999996</v>
      </c>
      <c r="H59" s="39">
        <f t="shared" si="45"/>
        <v>0</v>
      </c>
      <c r="I59" s="39">
        <f t="shared" si="46"/>
        <v>0</v>
      </c>
      <c r="J59" s="39">
        <f t="shared" si="47"/>
        <v>0.10714285699999999</v>
      </c>
      <c r="K59" s="38" t="s">
        <v>63</v>
      </c>
      <c r="L59" s="95">
        <v>44762</v>
      </c>
      <c r="M59" s="40">
        <v>45701</v>
      </c>
      <c r="N59" s="38" t="s">
        <v>64</v>
      </c>
      <c r="O59" s="10"/>
      <c r="P59" s="7">
        <v>1</v>
      </c>
      <c r="Q59" s="41">
        <f t="shared" ref="Q59:T59" si="66">ROUND(G59*$D59,2)</f>
        <v>18000</v>
      </c>
      <c r="R59" s="41">
        <f t="shared" si="66"/>
        <v>0</v>
      </c>
      <c r="S59" s="41">
        <f t="shared" si="66"/>
        <v>0</v>
      </c>
      <c r="T59" s="41">
        <f t="shared" si="66"/>
        <v>2160</v>
      </c>
      <c r="U59" s="41">
        <f t="shared" si="49"/>
        <v>20160</v>
      </c>
      <c r="V59" s="14">
        <f t="shared" si="50"/>
        <v>0</v>
      </c>
      <c r="W59" s="7"/>
      <c r="X59" s="42" t="s">
        <v>71</v>
      </c>
      <c r="Y59" s="38" t="s">
        <v>198</v>
      </c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7"/>
      <c r="AL59" s="94"/>
      <c r="AM59" s="48"/>
      <c r="AN59" s="49"/>
      <c r="AO59" s="50"/>
      <c r="AP59" s="49"/>
      <c r="AQ59" s="50"/>
      <c r="AR59" s="49"/>
      <c r="AS59" s="50"/>
      <c r="AT59" s="49"/>
      <c r="AU59" s="50"/>
      <c r="AV59" s="49"/>
      <c r="AW59" s="50"/>
      <c r="AX59" s="49"/>
      <c r="AY59" s="50"/>
      <c r="AZ59" s="49"/>
      <c r="BA59" s="50"/>
      <c r="BB59" s="49"/>
      <c r="BC59" s="50"/>
      <c r="BD59" s="49"/>
      <c r="BE59" s="50"/>
      <c r="BF59" s="49"/>
      <c r="BG59" s="50"/>
      <c r="BH59" s="49"/>
      <c r="BI59" s="50"/>
      <c r="BJ59" s="49"/>
      <c r="BK59" s="51"/>
    </row>
    <row r="60" spans="1:63" ht="19.5" customHeight="1" x14ac:dyDescent="0.2">
      <c r="A60" s="8"/>
      <c r="B60" s="38"/>
      <c r="C60" s="230"/>
      <c r="D60" s="103"/>
      <c r="E60" s="38"/>
      <c r="F60" s="38"/>
      <c r="G60" s="39"/>
      <c r="H60" s="39"/>
      <c r="I60" s="39"/>
      <c r="J60" s="39"/>
      <c r="K60" s="38"/>
      <c r="L60" s="52"/>
      <c r="M60" s="52"/>
      <c r="N60" s="38"/>
      <c r="O60" s="10"/>
      <c r="P60" s="7">
        <v>1</v>
      </c>
      <c r="Q60" s="41">
        <f t="shared" ref="Q60:T60" si="67">ROUND(G60*$D60,2)</f>
        <v>0</v>
      </c>
      <c r="R60" s="41">
        <f t="shared" si="67"/>
        <v>0</v>
      </c>
      <c r="S60" s="41">
        <f t="shared" si="67"/>
        <v>0</v>
      </c>
      <c r="T60" s="41">
        <f t="shared" si="67"/>
        <v>0</v>
      </c>
      <c r="U60" s="41">
        <f t="shared" si="49"/>
        <v>0</v>
      </c>
      <c r="V60" s="14">
        <f t="shared" si="50"/>
        <v>0</v>
      </c>
      <c r="W60" s="7"/>
      <c r="X60" s="42" t="s">
        <v>71</v>
      </c>
      <c r="Y60" s="38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7"/>
      <c r="AL60" s="94"/>
      <c r="AM60" s="68"/>
      <c r="AN60" s="69"/>
      <c r="AO60" s="70"/>
      <c r="AP60" s="69"/>
      <c r="AQ60" s="70"/>
      <c r="AR60" s="69"/>
      <c r="AS60" s="70"/>
      <c r="AT60" s="69"/>
      <c r="AU60" s="70"/>
      <c r="AV60" s="69"/>
      <c r="AW60" s="70"/>
      <c r="AX60" s="69"/>
      <c r="AY60" s="70"/>
      <c r="AZ60" s="69"/>
      <c r="BA60" s="70"/>
      <c r="BB60" s="69"/>
      <c r="BC60" s="70"/>
      <c r="BD60" s="69"/>
      <c r="BE60" s="70"/>
      <c r="BF60" s="69"/>
      <c r="BG60" s="70"/>
      <c r="BH60" s="69"/>
      <c r="BI60" s="70"/>
      <c r="BJ60" s="69"/>
      <c r="BK60" s="51"/>
    </row>
    <row r="61" spans="1:63" ht="19.5" customHeight="1" x14ac:dyDescent="0.2">
      <c r="A61" s="8"/>
      <c r="B61" s="242" t="s">
        <v>360</v>
      </c>
      <c r="C61" s="238"/>
      <c r="D61" s="115">
        <f>SUM(D43:D60)</f>
        <v>867138.55999999994</v>
      </c>
      <c r="E61" s="97"/>
      <c r="F61" s="72"/>
      <c r="G61" s="73"/>
      <c r="H61" s="73"/>
      <c r="I61" s="73"/>
      <c r="J61" s="73"/>
      <c r="K61" s="72"/>
      <c r="L61" s="74"/>
      <c r="M61" s="74"/>
      <c r="N61" s="72"/>
      <c r="O61" s="10"/>
      <c r="P61" s="7"/>
      <c r="Q61" s="63">
        <f t="shared" ref="Q61:T61" si="68">SUM(Q43:Q60)</f>
        <v>662340.24999999977</v>
      </c>
      <c r="R61" s="63">
        <f t="shared" si="68"/>
        <v>111890.61</v>
      </c>
      <c r="S61" s="63">
        <f t="shared" si="68"/>
        <v>0</v>
      </c>
      <c r="T61" s="63">
        <f t="shared" si="68"/>
        <v>92907.699999999983</v>
      </c>
      <c r="U61" s="63">
        <f t="shared" si="49"/>
        <v>867138.55999999971</v>
      </c>
      <c r="V61" s="14">
        <f t="shared" si="50"/>
        <v>0</v>
      </c>
      <c r="W61" s="7"/>
      <c r="X61" s="72"/>
      <c r="Y61" s="72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99"/>
      <c r="AL61" s="78"/>
      <c r="AM61" s="76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8"/>
    </row>
    <row r="62" spans="1:63" ht="19.5" customHeight="1" x14ac:dyDescent="0.2">
      <c r="A62" s="8"/>
      <c r="B62" s="79"/>
      <c r="C62" s="80"/>
      <c r="D62" s="81"/>
      <c r="E62" s="79"/>
      <c r="F62" s="79"/>
      <c r="G62" s="82"/>
      <c r="H62" s="82"/>
      <c r="I62" s="82"/>
      <c r="J62" s="82"/>
      <c r="K62" s="79"/>
      <c r="L62" s="83"/>
      <c r="M62" s="83"/>
      <c r="N62" s="79"/>
      <c r="O62" s="10"/>
      <c r="P62" s="7"/>
      <c r="Q62" s="84"/>
      <c r="R62" s="84"/>
      <c r="S62" s="84"/>
      <c r="T62" s="84"/>
      <c r="U62" s="7"/>
      <c r="V62" s="7"/>
      <c r="W62" s="7"/>
      <c r="X62" s="79"/>
      <c r="Y62" s="79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6"/>
      <c r="AL62" s="75"/>
      <c r="AM62" s="76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5"/>
    </row>
    <row r="63" spans="1:63" ht="19.5" customHeight="1" x14ac:dyDescent="0.2">
      <c r="A63" s="8"/>
      <c r="B63" s="237" t="s">
        <v>199</v>
      </c>
      <c r="C63" s="238"/>
      <c r="D63" s="100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10"/>
      <c r="P63" s="7"/>
      <c r="Q63" s="88"/>
      <c r="R63" s="88"/>
      <c r="S63" s="88"/>
      <c r="T63" s="88"/>
      <c r="U63" s="88"/>
      <c r="V63" s="7"/>
      <c r="W63" s="7"/>
      <c r="X63" s="86"/>
      <c r="Y63" s="8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8"/>
      <c r="AL63" s="89"/>
      <c r="AM63" s="90"/>
      <c r="AN63" s="33"/>
      <c r="AO63" s="32"/>
      <c r="AP63" s="33"/>
      <c r="AQ63" s="32"/>
      <c r="AR63" s="33"/>
      <c r="AS63" s="32"/>
      <c r="AT63" s="33"/>
      <c r="AU63" s="32"/>
      <c r="AV63" s="33"/>
      <c r="AW63" s="32"/>
      <c r="AX63" s="33"/>
      <c r="AY63" s="32"/>
      <c r="AZ63" s="33"/>
      <c r="BA63" s="32"/>
      <c r="BB63" s="33"/>
      <c r="BC63" s="32"/>
      <c r="BD63" s="33"/>
      <c r="BE63" s="32"/>
      <c r="BF63" s="33"/>
      <c r="BG63" s="32"/>
      <c r="BH63" s="33"/>
      <c r="BI63" s="32"/>
      <c r="BJ63" s="33"/>
      <c r="BK63" s="91"/>
    </row>
    <row r="64" spans="1:63" ht="39.75" customHeight="1" x14ac:dyDescent="0.2">
      <c r="A64" s="8"/>
      <c r="B64" s="102" t="s">
        <v>200</v>
      </c>
      <c r="C64" s="234" t="s">
        <v>201</v>
      </c>
      <c r="D64" s="101">
        <f>180000*1.12</f>
        <v>201600.00000000003</v>
      </c>
      <c r="E64" s="102" t="s">
        <v>202</v>
      </c>
      <c r="F64" s="102" t="s">
        <v>62</v>
      </c>
      <c r="G64" s="39">
        <f t="shared" ref="G64:G81" si="69">VLOOKUP($P64,$P$2:$T$5,2,FALSE)</f>
        <v>0.89285714299999996</v>
      </c>
      <c r="H64" s="39">
        <f t="shared" ref="H64:H81" si="70">VLOOKUP($P64,$P$2:$T$5,3,FALSE)</f>
        <v>0</v>
      </c>
      <c r="I64" s="39">
        <f t="shared" ref="I64:I81" si="71">VLOOKUP($P64,$P$2:$T$5,4,FALSE)</f>
        <v>0</v>
      </c>
      <c r="J64" s="39">
        <f t="shared" ref="J64:J81" si="72">VLOOKUP($P64,$P$2:$T$5,5,FALSE)</f>
        <v>0.10714285699999999</v>
      </c>
      <c r="K64" s="38" t="s">
        <v>63</v>
      </c>
      <c r="L64" s="52">
        <v>44418</v>
      </c>
      <c r="M64" s="52">
        <v>44837</v>
      </c>
      <c r="N64" s="38" t="s">
        <v>70</v>
      </c>
      <c r="O64" s="10"/>
      <c r="P64" s="7">
        <v>1</v>
      </c>
      <c r="Q64" s="41">
        <f t="shared" ref="Q64:T64" si="73">ROUND(G64*$D64,2)</f>
        <v>180000</v>
      </c>
      <c r="R64" s="41">
        <f t="shared" si="73"/>
        <v>0</v>
      </c>
      <c r="S64" s="41">
        <f t="shared" si="73"/>
        <v>0</v>
      </c>
      <c r="T64" s="41">
        <f t="shared" si="73"/>
        <v>21600</v>
      </c>
      <c r="U64" s="41">
        <f t="shared" ref="U64:U74" si="74">SUM(Q64:T64)</f>
        <v>201600</v>
      </c>
      <c r="V64" s="14">
        <f t="shared" ref="V64:V84" si="75">D64-U64</f>
        <v>0</v>
      </c>
      <c r="W64" s="7"/>
      <c r="X64" s="42" t="s">
        <v>116</v>
      </c>
      <c r="Y64" s="102" t="s">
        <v>203</v>
      </c>
      <c r="Z64" s="45">
        <v>44316</v>
      </c>
      <c r="AA64" s="45">
        <v>44405</v>
      </c>
      <c r="AB64" s="116">
        <v>44414</v>
      </c>
      <c r="AC64" s="116">
        <v>44428</v>
      </c>
      <c r="AD64" s="117">
        <v>44462</v>
      </c>
      <c r="AE64" s="118">
        <v>44484</v>
      </c>
      <c r="AF64" s="45"/>
      <c r="AG64" s="45"/>
      <c r="AH64" s="45"/>
      <c r="AI64" s="45"/>
      <c r="AJ64" s="45"/>
      <c r="AK64" s="47"/>
      <c r="AL64" s="94"/>
      <c r="AM64" s="48"/>
      <c r="AN64" s="49"/>
      <c r="AO64" s="50"/>
      <c r="AP64" s="49"/>
      <c r="AQ64" s="50"/>
      <c r="AR64" s="49"/>
      <c r="AS64" s="50"/>
      <c r="AT64" s="49"/>
      <c r="AU64" s="50"/>
      <c r="AV64" s="49"/>
      <c r="AW64" s="50"/>
      <c r="AX64" s="49"/>
      <c r="AY64" s="50"/>
      <c r="AZ64" s="49"/>
      <c r="BA64" s="50"/>
      <c r="BB64" s="49"/>
      <c r="BC64" s="50"/>
      <c r="BD64" s="49"/>
      <c r="BE64" s="50"/>
      <c r="BF64" s="49"/>
      <c r="BG64" s="50"/>
      <c r="BH64" s="49"/>
      <c r="BI64" s="50"/>
      <c r="BJ64" s="49"/>
      <c r="BK64" s="51"/>
    </row>
    <row r="65" spans="1:63" ht="39.75" customHeight="1" x14ac:dyDescent="0.2">
      <c r="A65" s="8"/>
      <c r="B65" s="38" t="s">
        <v>204</v>
      </c>
      <c r="C65" s="230" t="s">
        <v>205</v>
      </c>
      <c r="D65" s="103">
        <f>90000*1.12</f>
        <v>100800.00000000001</v>
      </c>
      <c r="E65" s="38" t="s">
        <v>202</v>
      </c>
      <c r="F65" s="38" t="s">
        <v>62</v>
      </c>
      <c r="G65" s="39">
        <f t="shared" si="69"/>
        <v>0.89285714299999996</v>
      </c>
      <c r="H65" s="39">
        <f t="shared" si="70"/>
        <v>0</v>
      </c>
      <c r="I65" s="39">
        <f t="shared" si="71"/>
        <v>0</v>
      </c>
      <c r="J65" s="39">
        <f t="shared" si="72"/>
        <v>0.10714285699999999</v>
      </c>
      <c r="K65" s="38" t="s">
        <v>63</v>
      </c>
      <c r="L65" s="40">
        <v>44662</v>
      </c>
      <c r="M65" s="40">
        <v>45095</v>
      </c>
      <c r="N65" s="38" t="s">
        <v>64</v>
      </c>
      <c r="O65" s="10"/>
      <c r="P65" s="7">
        <v>1</v>
      </c>
      <c r="Q65" s="41">
        <f t="shared" ref="Q65:T65" si="76">ROUND(G65*$D65,2)</f>
        <v>90000</v>
      </c>
      <c r="R65" s="41">
        <f t="shared" si="76"/>
        <v>0</v>
      </c>
      <c r="S65" s="41">
        <f t="shared" si="76"/>
        <v>0</v>
      </c>
      <c r="T65" s="41">
        <f t="shared" si="76"/>
        <v>10800</v>
      </c>
      <c r="U65" s="41">
        <f t="shared" si="74"/>
        <v>100800</v>
      </c>
      <c r="V65" s="14">
        <f t="shared" si="75"/>
        <v>0</v>
      </c>
      <c r="W65" s="7"/>
      <c r="X65" s="42" t="s">
        <v>116</v>
      </c>
      <c r="Y65" s="38" t="s">
        <v>206</v>
      </c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7"/>
      <c r="AL65" s="94"/>
      <c r="AM65" s="48"/>
      <c r="AN65" s="49"/>
      <c r="AO65" s="50"/>
      <c r="AP65" s="49"/>
      <c r="AQ65" s="50"/>
      <c r="AR65" s="49"/>
      <c r="AS65" s="50"/>
      <c r="AT65" s="49"/>
      <c r="AU65" s="50"/>
      <c r="AV65" s="49"/>
      <c r="AW65" s="50"/>
      <c r="AX65" s="49"/>
      <c r="AY65" s="50"/>
      <c r="AZ65" s="49"/>
      <c r="BA65" s="50"/>
      <c r="BB65" s="49"/>
      <c r="BC65" s="50"/>
      <c r="BD65" s="49"/>
      <c r="BE65" s="50"/>
      <c r="BF65" s="49"/>
      <c r="BG65" s="50"/>
      <c r="BH65" s="49"/>
      <c r="BI65" s="50"/>
      <c r="BJ65" s="49"/>
      <c r="BK65" s="51"/>
    </row>
    <row r="66" spans="1:63" ht="39.75" customHeight="1" x14ac:dyDescent="0.2">
      <c r="A66" s="8"/>
      <c r="B66" s="38" t="s">
        <v>207</v>
      </c>
      <c r="C66" s="230" t="s">
        <v>209</v>
      </c>
      <c r="D66" s="103">
        <f>100000*1.12</f>
        <v>112000.00000000001</v>
      </c>
      <c r="E66" s="38" t="s">
        <v>208</v>
      </c>
      <c r="F66" s="38" t="s">
        <v>62</v>
      </c>
      <c r="G66" s="39">
        <f t="shared" si="69"/>
        <v>0.89285714299999996</v>
      </c>
      <c r="H66" s="39">
        <f t="shared" si="70"/>
        <v>0</v>
      </c>
      <c r="I66" s="39">
        <f t="shared" si="71"/>
        <v>0</v>
      </c>
      <c r="J66" s="39">
        <f t="shared" si="72"/>
        <v>0.10714285699999999</v>
      </c>
      <c r="K66" s="38" t="s">
        <v>63</v>
      </c>
      <c r="L66" s="40">
        <v>44671</v>
      </c>
      <c r="M66" s="40">
        <v>44928</v>
      </c>
      <c r="N66" s="38" t="s">
        <v>64</v>
      </c>
      <c r="O66" s="10"/>
      <c r="P66" s="7">
        <v>1</v>
      </c>
      <c r="Q66" s="41">
        <f t="shared" ref="Q66:T66" si="77">ROUND(G66*$D66,2)</f>
        <v>100000</v>
      </c>
      <c r="R66" s="41">
        <f t="shared" si="77"/>
        <v>0</v>
      </c>
      <c r="S66" s="41">
        <f t="shared" si="77"/>
        <v>0</v>
      </c>
      <c r="T66" s="41">
        <f t="shared" si="77"/>
        <v>12000</v>
      </c>
      <c r="U66" s="41">
        <f t="shared" si="74"/>
        <v>112000</v>
      </c>
      <c r="V66" s="14">
        <f t="shared" si="75"/>
        <v>0</v>
      </c>
      <c r="W66" s="7"/>
      <c r="X66" s="42" t="s">
        <v>116</v>
      </c>
      <c r="Y66" s="38" t="s">
        <v>210</v>
      </c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7"/>
      <c r="AL66" s="94"/>
      <c r="AM66" s="48"/>
      <c r="AN66" s="49"/>
      <c r="AO66" s="50"/>
      <c r="AP66" s="49"/>
      <c r="AQ66" s="50"/>
      <c r="AR66" s="49"/>
      <c r="AS66" s="50"/>
      <c r="AT66" s="49"/>
      <c r="AU66" s="50"/>
      <c r="AV66" s="49"/>
      <c r="AW66" s="50"/>
      <c r="AX66" s="49"/>
      <c r="AY66" s="50"/>
      <c r="AZ66" s="49"/>
      <c r="BA66" s="50"/>
      <c r="BB66" s="49"/>
      <c r="BC66" s="50"/>
      <c r="BD66" s="49"/>
      <c r="BE66" s="50"/>
      <c r="BF66" s="49"/>
      <c r="BG66" s="50"/>
      <c r="BH66" s="49"/>
      <c r="BI66" s="50"/>
      <c r="BJ66" s="49"/>
      <c r="BK66" s="51"/>
    </row>
    <row r="67" spans="1:63" ht="39.75" customHeight="1" x14ac:dyDescent="0.2">
      <c r="A67" s="8"/>
      <c r="B67" s="38" t="s">
        <v>211</v>
      </c>
      <c r="C67" s="230" t="s">
        <v>212</v>
      </c>
      <c r="D67" s="103">
        <f>1700000*1.12-349440</f>
        <v>1554560.0000000002</v>
      </c>
      <c r="E67" s="38" t="s">
        <v>202</v>
      </c>
      <c r="F67" s="38" t="s">
        <v>62</v>
      </c>
      <c r="G67" s="39">
        <f t="shared" si="69"/>
        <v>0.46579531350148357</v>
      </c>
      <c r="H67" s="39">
        <f t="shared" si="70"/>
        <v>0.4270618294985164</v>
      </c>
      <c r="I67" s="39">
        <f t="shared" si="71"/>
        <v>0</v>
      </c>
      <c r="J67" s="39">
        <f t="shared" si="72"/>
        <v>0.10714285699999999</v>
      </c>
      <c r="K67" s="38" t="s">
        <v>63</v>
      </c>
      <c r="L67" s="40">
        <v>44770</v>
      </c>
      <c r="M67" s="40">
        <v>45635</v>
      </c>
      <c r="N67" s="38" t="s">
        <v>64</v>
      </c>
      <c r="O67" s="10"/>
      <c r="P67" s="7">
        <v>2</v>
      </c>
      <c r="Q67" s="41">
        <f t="shared" ref="Q67:T67" si="78">ROUND(G67*$D67,2)</f>
        <v>724106.76</v>
      </c>
      <c r="R67" s="41">
        <f t="shared" si="78"/>
        <v>663893.24</v>
      </c>
      <c r="S67" s="41">
        <f t="shared" si="78"/>
        <v>0</v>
      </c>
      <c r="T67" s="41">
        <f t="shared" si="78"/>
        <v>166560</v>
      </c>
      <c r="U67" s="41">
        <f t="shared" si="74"/>
        <v>1554560</v>
      </c>
      <c r="V67" s="14">
        <f t="shared" si="75"/>
        <v>0</v>
      </c>
      <c r="W67" s="7"/>
      <c r="X67" s="42" t="s">
        <v>65</v>
      </c>
      <c r="Y67" s="38" t="s">
        <v>213</v>
      </c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7"/>
      <c r="AL67" s="94"/>
      <c r="AM67" s="48"/>
      <c r="AN67" s="49"/>
      <c r="AO67" s="50"/>
      <c r="AP67" s="49"/>
      <c r="AQ67" s="50"/>
      <c r="AR67" s="49"/>
      <c r="AS67" s="50"/>
      <c r="AT67" s="49"/>
      <c r="AU67" s="50"/>
      <c r="AV67" s="49"/>
      <c r="AW67" s="50"/>
      <c r="AX67" s="49"/>
      <c r="AY67" s="50"/>
      <c r="AZ67" s="49"/>
      <c r="BA67" s="50"/>
      <c r="BB67" s="49"/>
      <c r="BC67" s="50"/>
      <c r="BD67" s="49"/>
      <c r="BE67" s="50"/>
      <c r="BF67" s="49"/>
      <c r="BG67" s="50"/>
      <c r="BH67" s="49"/>
      <c r="BI67" s="50"/>
      <c r="BJ67" s="49"/>
      <c r="BK67" s="51"/>
    </row>
    <row r="68" spans="1:63" ht="19.5" customHeight="1" x14ac:dyDescent="0.2">
      <c r="A68" s="8"/>
      <c r="B68" s="38" t="s">
        <v>214</v>
      </c>
      <c r="C68" s="230" t="s">
        <v>215</v>
      </c>
      <c r="D68" s="103">
        <f>200000*1.12</f>
        <v>224000.00000000003</v>
      </c>
      <c r="E68" s="38" t="s">
        <v>202</v>
      </c>
      <c r="F68" s="38" t="s">
        <v>62</v>
      </c>
      <c r="G68" s="39">
        <f t="shared" si="69"/>
        <v>0.89285714299999996</v>
      </c>
      <c r="H68" s="39">
        <f t="shared" si="70"/>
        <v>0</v>
      </c>
      <c r="I68" s="39">
        <f t="shared" si="71"/>
        <v>0</v>
      </c>
      <c r="J68" s="39">
        <f t="shared" si="72"/>
        <v>0.10714285699999999</v>
      </c>
      <c r="K68" s="38" t="s">
        <v>63</v>
      </c>
      <c r="L68" s="52">
        <v>44770</v>
      </c>
      <c r="M68" s="52">
        <v>45665</v>
      </c>
      <c r="N68" s="38" t="s">
        <v>64</v>
      </c>
      <c r="O68" s="10"/>
      <c r="P68" s="7">
        <v>1</v>
      </c>
      <c r="Q68" s="41">
        <f t="shared" ref="Q68:T68" si="79">ROUND(G68*$D68,2)</f>
        <v>200000</v>
      </c>
      <c r="R68" s="41">
        <f t="shared" si="79"/>
        <v>0</v>
      </c>
      <c r="S68" s="41">
        <f t="shared" si="79"/>
        <v>0</v>
      </c>
      <c r="T68" s="41">
        <f t="shared" si="79"/>
        <v>24000</v>
      </c>
      <c r="U68" s="41">
        <f t="shared" si="74"/>
        <v>224000</v>
      </c>
      <c r="V68" s="14">
        <f t="shared" si="75"/>
        <v>0</v>
      </c>
      <c r="W68" s="7"/>
      <c r="X68" s="42" t="s">
        <v>71</v>
      </c>
      <c r="Y68" s="38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7"/>
      <c r="AL68" s="94"/>
      <c r="AM68" s="48"/>
      <c r="AN68" s="49"/>
      <c r="AO68" s="50"/>
      <c r="AP68" s="49"/>
      <c r="AQ68" s="50"/>
      <c r="AR68" s="49"/>
      <c r="AS68" s="50"/>
      <c r="AT68" s="49"/>
      <c r="AU68" s="50"/>
      <c r="AV68" s="49"/>
      <c r="AW68" s="50"/>
      <c r="AX68" s="49"/>
      <c r="AY68" s="50"/>
      <c r="AZ68" s="49"/>
      <c r="BA68" s="50"/>
      <c r="BB68" s="49"/>
      <c r="BC68" s="50"/>
      <c r="BD68" s="49"/>
      <c r="BE68" s="50"/>
      <c r="BF68" s="49"/>
      <c r="BG68" s="50"/>
      <c r="BH68" s="49"/>
      <c r="BI68" s="50"/>
      <c r="BJ68" s="49"/>
      <c r="BK68" s="51"/>
    </row>
    <row r="69" spans="1:63" ht="39.75" customHeight="1" x14ac:dyDescent="0.2">
      <c r="A69" s="8"/>
      <c r="B69" s="38" t="s">
        <v>216</v>
      </c>
      <c r="C69" s="230" t="s">
        <v>217</v>
      </c>
      <c r="D69" s="103">
        <f>5000*1.12</f>
        <v>5600.0000000000009</v>
      </c>
      <c r="E69" s="38" t="s">
        <v>218</v>
      </c>
      <c r="F69" s="38" t="s">
        <v>219</v>
      </c>
      <c r="G69" s="39">
        <f t="shared" si="69"/>
        <v>0.89285714299999996</v>
      </c>
      <c r="H69" s="39">
        <f t="shared" si="70"/>
        <v>0</v>
      </c>
      <c r="I69" s="39">
        <f t="shared" si="71"/>
        <v>0</v>
      </c>
      <c r="J69" s="39">
        <f t="shared" si="72"/>
        <v>0.10714285699999999</v>
      </c>
      <c r="K69" s="38" t="s">
        <v>63</v>
      </c>
      <c r="L69" s="40">
        <v>44790</v>
      </c>
      <c r="M69" s="40">
        <v>45138</v>
      </c>
      <c r="N69" s="38" t="s">
        <v>64</v>
      </c>
      <c r="O69" s="10"/>
      <c r="P69" s="7">
        <v>1</v>
      </c>
      <c r="Q69" s="41">
        <f t="shared" ref="Q69:T69" si="80">ROUND(G69*$D69,2)</f>
        <v>5000</v>
      </c>
      <c r="R69" s="41">
        <f t="shared" si="80"/>
        <v>0</v>
      </c>
      <c r="S69" s="41">
        <f t="shared" si="80"/>
        <v>0</v>
      </c>
      <c r="T69" s="41">
        <f t="shared" si="80"/>
        <v>600</v>
      </c>
      <c r="U69" s="41">
        <f t="shared" si="74"/>
        <v>5600</v>
      </c>
      <c r="V69" s="14">
        <f t="shared" si="75"/>
        <v>0</v>
      </c>
      <c r="W69" s="7"/>
      <c r="X69" s="42" t="s">
        <v>71</v>
      </c>
      <c r="Y69" s="38" t="s">
        <v>220</v>
      </c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7"/>
      <c r="AL69" s="94"/>
      <c r="AM69" s="48"/>
      <c r="AN69" s="49"/>
      <c r="AO69" s="50"/>
      <c r="AP69" s="49"/>
      <c r="AQ69" s="50"/>
      <c r="AR69" s="49"/>
      <c r="AS69" s="50"/>
      <c r="AT69" s="49"/>
      <c r="AU69" s="50"/>
      <c r="AV69" s="49"/>
      <c r="AW69" s="50"/>
      <c r="AX69" s="49"/>
      <c r="AY69" s="50"/>
      <c r="AZ69" s="49"/>
      <c r="BA69" s="50"/>
      <c r="BB69" s="49"/>
      <c r="BC69" s="50"/>
      <c r="BD69" s="49"/>
      <c r="BE69" s="50"/>
      <c r="BF69" s="49"/>
      <c r="BG69" s="50"/>
      <c r="BH69" s="49"/>
      <c r="BI69" s="50"/>
      <c r="BJ69" s="49"/>
      <c r="BK69" s="51"/>
    </row>
    <row r="70" spans="1:63" ht="39.75" customHeight="1" x14ac:dyDescent="0.2">
      <c r="A70" s="8"/>
      <c r="B70" s="38" t="s">
        <v>221</v>
      </c>
      <c r="C70" s="230" t="s">
        <v>222</v>
      </c>
      <c r="D70" s="103">
        <f>38000*1.12</f>
        <v>42560.000000000007</v>
      </c>
      <c r="E70" s="38" t="s">
        <v>202</v>
      </c>
      <c r="F70" s="38" t="s">
        <v>62</v>
      </c>
      <c r="G70" s="39">
        <f t="shared" si="69"/>
        <v>0.89285714299999996</v>
      </c>
      <c r="H70" s="39">
        <f t="shared" si="70"/>
        <v>0</v>
      </c>
      <c r="I70" s="39">
        <f t="shared" si="71"/>
        <v>0</v>
      </c>
      <c r="J70" s="39">
        <f t="shared" si="72"/>
        <v>0.10714285699999999</v>
      </c>
      <c r="K70" s="38" t="s">
        <v>63</v>
      </c>
      <c r="L70" s="40">
        <v>44621</v>
      </c>
      <c r="M70" s="40">
        <v>44957</v>
      </c>
      <c r="N70" s="38" t="s">
        <v>64</v>
      </c>
      <c r="O70" s="10"/>
      <c r="P70" s="7">
        <v>1</v>
      </c>
      <c r="Q70" s="41">
        <f t="shared" ref="Q70:T70" si="81">ROUND(G70*$D70,2)</f>
        <v>38000</v>
      </c>
      <c r="R70" s="41">
        <f t="shared" si="81"/>
        <v>0</v>
      </c>
      <c r="S70" s="41">
        <f t="shared" si="81"/>
        <v>0</v>
      </c>
      <c r="T70" s="41">
        <f t="shared" si="81"/>
        <v>4560</v>
      </c>
      <c r="U70" s="41">
        <f t="shared" si="74"/>
        <v>42560</v>
      </c>
      <c r="V70" s="14">
        <f t="shared" si="75"/>
        <v>0</v>
      </c>
      <c r="W70" s="7"/>
      <c r="X70" s="42" t="s">
        <v>71</v>
      </c>
      <c r="Y70" s="38" t="s">
        <v>223</v>
      </c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7"/>
      <c r="AL70" s="94"/>
      <c r="AM70" s="48"/>
      <c r="AN70" s="49"/>
      <c r="AO70" s="50"/>
      <c r="AP70" s="49"/>
      <c r="AQ70" s="50"/>
      <c r="AR70" s="49"/>
      <c r="AS70" s="50"/>
      <c r="AT70" s="49"/>
      <c r="AU70" s="50"/>
      <c r="AV70" s="49"/>
      <c r="AW70" s="50"/>
      <c r="AX70" s="49"/>
      <c r="AY70" s="50"/>
      <c r="AZ70" s="49"/>
      <c r="BA70" s="50"/>
      <c r="BB70" s="49"/>
      <c r="BC70" s="50"/>
      <c r="BD70" s="49"/>
      <c r="BE70" s="50"/>
      <c r="BF70" s="49"/>
      <c r="BG70" s="50"/>
      <c r="BH70" s="49"/>
      <c r="BI70" s="50"/>
      <c r="BJ70" s="49"/>
      <c r="BK70" s="51"/>
    </row>
    <row r="71" spans="1:63" ht="14.25" customHeight="1" x14ac:dyDescent="0.2">
      <c r="A71" s="8"/>
      <c r="B71" s="38" t="s">
        <v>224</v>
      </c>
      <c r="C71" s="230" t="s">
        <v>225</v>
      </c>
      <c r="D71" s="103">
        <f>20000*1.12</f>
        <v>22400.000000000004</v>
      </c>
      <c r="E71" s="38" t="s">
        <v>202</v>
      </c>
      <c r="F71" s="38" t="s">
        <v>62</v>
      </c>
      <c r="G71" s="39">
        <f t="shared" si="69"/>
        <v>0.89285714299999996</v>
      </c>
      <c r="H71" s="39">
        <f t="shared" si="70"/>
        <v>0</v>
      </c>
      <c r="I71" s="39">
        <f t="shared" si="71"/>
        <v>0</v>
      </c>
      <c r="J71" s="39">
        <f t="shared" si="72"/>
        <v>0.10714285699999999</v>
      </c>
      <c r="K71" s="38" t="s">
        <v>63</v>
      </c>
      <c r="L71" s="40">
        <v>45245</v>
      </c>
      <c r="M71" s="40">
        <v>45412</v>
      </c>
      <c r="N71" s="38" t="s">
        <v>64</v>
      </c>
      <c r="O71" s="10"/>
      <c r="P71" s="7">
        <v>1</v>
      </c>
      <c r="Q71" s="41">
        <f t="shared" ref="Q71:T71" si="82">ROUND(G71*$D71,2)</f>
        <v>20000</v>
      </c>
      <c r="R71" s="41">
        <f t="shared" si="82"/>
        <v>0</v>
      </c>
      <c r="S71" s="41">
        <f t="shared" si="82"/>
        <v>0</v>
      </c>
      <c r="T71" s="41">
        <f t="shared" si="82"/>
        <v>2400</v>
      </c>
      <c r="U71" s="41">
        <f t="shared" si="74"/>
        <v>22400</v>
      </c>
      <c r="V71" s="14">
        <f t="shared" si="75"/>
        <v>0</v>
      </c>
      <c r="W71" s="7"/>
      <c r="X71" s="42" t="s">
        <v>71</v>
      </c>
      <c r="Y71" s="38" t="s">
        <v>226</v>
      </c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7"/>
      <c r="AL71" s="94"/>
      <c r="AM71" s="48"/>
      <c r="AN71" s="49"/>
      <c r="AO71" s="50"/>
      <c r="AP71" s="49"/>
      <c r="AQ71" s="50"/>
      <c r="AR71" s="49"/>
      <c r="AS71" s="50"/>
      <c r="AT71" s="49"/>
      <c r="AU71" s="50"/>
      <c r="AV71" s="49"/>
      <c r="AW71" s="50"/>
      <c r="AX71" s="49"/>
      <c r="AY71" s="50"/>
      <c r="AZ71" s="49"/>
      <c r="BA71" s="50"/>
      <c r="BB71" s="49"/>
      <c r="BC71" s="50"/>
      <c r="BD71" s="49"/>
      <c r="BE71" s="50"/>
      <c r="BF71" s="49"/>
      <c r="BG71" s="50"/>
      <c r="BH71" s="49"/>
      <c r="BI71" s="50"/>
      <c r="BJ71" s="49"/>
      <c r="BK71" s="51"/>
    </row>
    <row r="72" spans="1:63" ht="14.25" customHeight="1" x14ac:dyDescent="0.2">
      <c r="A72" s="8"/>
      <c r="B72" s="38" t="s">
        <v>227</v>
      </c>
      <c r="C72" s="230" t="s">
        <v>228</v>
      </c>
      <c r="D72" s="103">
        <f>80000*1.12</f>
        <v>89600.000000000015</v>
      </c>
      <c r="E72" s="38" t="s">
        <v>202</v>
      </c>
      <c r="F72" s="38" t="s">
        <v>62</v>
      </c>
      <c r="G72" s="39">
        <f t="shared" si="69"/>
        <v>0.89285714299999996</v>
      </c>
      <c r="H72" s="39">
        <f t="shared" si="70"/>
        <v>0</v>
      </c>
      <c r="I72" s="39">
        <f t="shared" si="71"/>
        <v>0</v>
      </c>
      <c r="J72" s="39">
        <f t="shared" si="72"/>
        <v>0.10714285699999999</v>
      </c>
      <c r="K72" s="38" t="s">
        <v>63</v>
      </c>
      <c r="L72" s="40">
        <v>45139</v>
      </c>
      <c r="M72" s="40">
        <v>45657</v>
      </c>
      <c r="N72" s="38" t="s">
        <v>64</v>
      </c>
      <c r="O72" s="10"/>
      <c r="P72" s="7">
        <v>1</v>
      </c>
      <c r="Q72" s="41">
        <f t="shared" ref="Q72:T72" si="83">ROUND(G72*$D72,2)</f>
        <v>80000</v>
      </c>
      <c r="R72" s="41">
        <f t="shared" si="83"/>
        <v>0</v>
      </c>
      <c r="S72" s="41">
        <f t="shared" si="83"/>
        <v>0</v>
      </c>
      <c r="T72" s="41">
        <f t="shared" si="83"/>
        <v>9600</v>
      </c>
      <c r="U72" s="41">
        <f t="shared" si="74"/>
        <v>89600</v>
      </c>
      <c r="V72" s="14">
        <f t="shared" si="75"/>
        <v>0</v>
      </c>
      <c r="W72" s="7"/>
      <c r="X72" s="42" t="s">
        <v>71</v>
      </c>
      <c r="Y72" s="38" t="s">
        <v>229</v>
      </c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7"/>
      <c r="AL72" s="94"/>
      <c r="AM72" s="48"/>
      <c r="AN72" s="49"/>
      <c r="AO72" s="50"/>
      <c r="AP72" s="49"/>
      <c r="AQ72" s="50"/>
      <c r="AR72" s="49"/>
      <c r="AS72" s="50"/>
      <c r="AT72" s="49"/>
      <c r="AU72" s="50"/>
      <c r="AV72" s="49"/>
      <c r="AW72" s="50"/>
      <c r="AX72" s="49"/>
      <c r="AY72" s="50"/>
      <c r="AZ72" s="49"/>
      <c r="BA72" s="50"/>
      <c r="BB72" s="49"/>
      <c r="BC72" s="50"/>
      <c r="BD72" s="49"/>
      <c r="BE72" s="50"/>
      <c r="BF72" s="49"/>
      <c r="BG72" s="50"/>
      <c r="BH72" s="49"/>
      <c r="BI72" s="50"/>
      <c r="BJ72" s="49"/>
      <c r="BK72" s="51"/>
    </row>
    <row r="73" spans="1:63" ht="14.25" customHeight="1" x14ac:dyDescent="0.2">
      <c r="A73" s="8"/>
      <c r="B73" s="38" t="s">
        <v>230</v>
      </c>
      <c r="C73" s="230" t="s">
        <v>231</v>
      </c>
      <c r="D73" s="103">
        <f>150000*1.12</f>
        <v>168000.00000000003</v>
      </c>
      <c r="E73" s="38" t="s">
        <v>202</v>
      </c>
      <c r="F73" s="38" t="s">
        <v>62</v>
      </c>
      <c r="G73" s="39">
        <f t="shared" si="69"/>
        <v>0.89285714299999996</v>
      </c>
      <c r="H73" s="39">
        <f t="shared" si="70"/>
        <v>0</v>
      </c>
      <c r="I73" s="39">
        <f t="shared" si="71"/>
        <v>0</v>
      </c>
      <c r="J73" s="39">
        <f t="shared" si="72"/>
        <v>0.10714285699999999</v>
      </c>
      <c r="K73" s="38" t="s">
        <v>63</v>
      </c>
      <c r="L73" s="40">
        <v>45323</v>
      </c>
      <c r="M73" s="40">
        <v>45688</v>
      </c>
      <c r="N73" s="38" t="s">
        <v>64</v>
      </c>
      <c r="O73" s="10"/>
      <c r="P73" s="7">
        <v>1</v>
      </c>
      <c r="Q73" s="41">
        <f t="shared" ref="Q73:T73" si="84">ROUND(G73*$D73,2)</f>
        <v>150000</v>
      </c>
      <c r="R73" s="41">
        <f t="shared" si="84"/>
        <v>0</v>
      </c>
      <c r="S73" s="41">
        <f t="shared" si="84"/>
        <v>0</v>
      </c>
      <c r="T73" s="41">
        <f t="shared" si="84"/>
        <v>18000</v>
      </c>
      <c r="U73" s="41">
        <f t="shared" si="74"/>
        <v>168000</v>
      </c>
      <c r="V73" s="14">
        <f t="shared" si="75"/>
        <v>0</v>
      </c>
      <c r="W73" s="7"/>
      <c r="X73" s="42" t="s">
        <v>71</v>
      </c>
      <c r="Y73" s="38" t="s">
        <v>232</v>
      </c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7"/>
      <c r="AL73" s="94"/>
      <c r="AM73" s="48"/>
      <c r="AN73" s="49"/>
      <c r="AO73" s="50"/>
      <c r="AP73" s="49"/>
      <c r="AQ73" s="50"/>
      <c r="AR73" s="49"/>
      <c r="AS73" s="50"/>
      <c r="AT73" s="49"/>
      <c r="AU73" s="50"/>
      <c r="AV73" s="49"/>
      <c r="AW73" s="50"/>
      <c r="AX73" s="49"/>
      <c r="AY73" s="50"/>
      <c r="AZ73" s="49"/>
      <c r="BA73" s="50"/>
      <c r="BB73" s="49"/>
      <c r="BC73" s="50"/>
      <c r="BD73" s="49"/>
      <c r="BE73" s="50"/>
      <c r="BF73" s="49"/>
      <c r="BG73" s="50"/>
      <c r="BH73" s="49"/>
      <c r="BI73" s="50"/>
      <c r="BJ73" s="49"/>
      <c r="BK73" s="51"/>
    </row>
    <row r="74" spans="1:63" ht="14.25" customHeight="1" x14ac:dyDescent="0.2">
      <c r="A74" s="8"/>
      <c r="B74" s="38" t="s">
        <v>233</v>
      </c>
      <c r="C74" s="233" t="s">
        <v>361</v>
      </c>
      <c r="D74" s="103">
        <f>200000*1.12-D109</f>
        <v>156800.00000000003</v>
      </c>
      <c r="E74" s="38" t="s">
        <v>234</v>
      </c>
      <c r="F74" s="38" t="s">
        <v>62</v>
      </c>
      <c r="G74" s="39">
        <f t="shared" si="69"/>
        <v>0.89285714299999996</v>
      </c>
      <c r="H74" s="39">
        <f t="shared" si="70"/>
        <v>0</v>
      </c>
      <c r="I74" s="39">
        <f t="shared" si="71"/>
        <v>0</v>
      </c>
      <c r="J74" s="39">
        <f t="shared" si="72"/>
        <v>0.10714285699999999</v>
      </c>
      <c r="K74" s="119" t="s">
        <v>63</v>
      </c>
      <c r="L74" s="52">
        <v>44418</v>
      </c>
      <c r="M74" s="52">
        <v>45809</v>
      </c>
      <c r="N74" s="38" t="s">
        <v>70</v>
      </c>
      <c r="O74" s="10"/>
      <c r="P74" s="7">
        <v>1</v>
      </c>
      <c r="Q74" s="41">
        <f t="shared" ref="Q74:T74" si="85">ROUND(G74*$D74,2)</f>
        <v>140000</v>
      </c>
      <c r="R74" s="41">
        <f t="shared" si="85"/>
        <v>0</v>
      </c>
      <c r="S74" s="41">
        <f t="shared" si="85"/>
        <v>0</v>
      </c>
      <c r="T74" s="41">
        <f t="shared" si="85"/>
        <v>16800</v>
      </c>
      <c r="U74" s="41">
        <f t="shared" si="74"/>
        <v>156800</v>
      </c>
      <c r="V74" s="14">
        <f t="shared" si="75"/>
        <v>0</v>
      </c>
      <c r="W74" s="7"/>
      <c r="X74" s="42" t="s">
        <v>71</v>
      </c>
      <c r="Y74" s="38" t="s">
        <v>235</v>
      </c>
      <c r="Z74" s="45"/>
      <c r="AA74" s="45"/>
      <c r="AB74" s="45"/>
      <c r="AC74" s="118">
        <v>44328</v>
      </c>
      <c r="AD74" s="117"/>
      <c r="AE74" s="118">
        <v>44412</v>
      </c>
      <c r="AF74" s="117">
        <v>44438</v>
      </c>
      <c r="AG74" s="45"/>
      <c r="AH74" s="116" t="s">
        <v>73</v>
      </c>
      <c r="AI74" s="45">
        <v>44439</v>
      </c>
      <c r="AJ74" s="45">
        <v>46265</v>
      </c>
      <c r="AK74" s="47">
        <v>98000</v>
      </c>
      <c r="AL74" s="94" t="s">
        <v>236</v>
      </c>
      <c r="AM74" s="48"/>
      <c r="AN74" s="49"/>
      <c r="AO74" s="50"/>
      <c r="AP74" s="49"/>
      <c r="AQ74" s="50"/>
      <c r="AR74" s="49"/>
      <c r="AS74" s="50"/>
      <c r="AT74" s="49"/>
      <c r="AU74" s="50"/>
      <c r="AV74" s="49"/>
      <c r="AW74" s="50"/>
      <c r="AX74" s="49"/>
      <c r="AY74" s="50"/>
      <c r="AZ74" s="49"/>
      <c r="BA74" s="50"/>
      <c r="BB74" s="49"/>
      <c r="BC74" s="50"/>
      <c r="BD74" s="49"/>
      <c r="BE74" s="50"/>
      <c r="BF74" s="49"/>
      <c r="BG74" s="50"/>
      <c r="BH74" s="49"/>
      <c r="BI74" s="50"/>
      <c r="BJ74" s="49"/>
      <c r="BK74" s="51"/>
    </row>
    <row r="75" spans="1:63" ht="60" customHeight="1" x14ac:dyDescent="0.2">
      <c r="A75" s="8"/>
      <c r="B75" s="38" t="s">
        <v>237</v>
      </c>
      <c r="C75" s="230" t="s">
        <v>238</v>
      </c>
      <c r="D75" s="103">
        <f>850562.9+421542.13</f>
        <v>1272105.03</v>
      </c>
      <c r="E75" s="38" t="s">
        <v>202</v>
      </c>
      <c r="F75" s="38" t="s">
        <v>62</v>
      </c>
      <c r="G75" s="39">
        <f t="shared" si="69"/>
        <v>0.89285714299999996</v>
      </c>
      <c r="H75" s="39">
        <f t="shared" si="70"/>
        <v>0</v>
      </c>
      <c r="I75" s="39">
        <f t="shared" si="71"/>
        <v>0</v>
      </c>
      <c r="J75" s="39">
        <f t="shared" si="72"/>
        <v>0.10714285699999999</v>
      </c>
      <c r="K75" s="119" t="s">
        <v>63</v>
      </c>
      <c r="L75" s="52">
        <v>44533</v>
      </c>
      <c r="M75" s="52">
        <f>MAX(M26,M27)+30</f>
        <v>45483</v>
      </c>
      <c r="N75" s="38" t="s">
        <v>64</v>
      </c>
      <c r="O75" s="10"/>
      <c r="P75" s="7">
        <v>1</v>
      </c>
      <c r="Q75" s="93">
        <f>592540.56+543267.5</f>
        <v>1135808.06</v>
      </c>
      <c r="R75" s="93">
        <f>543267.5-543267.5</f>
        <v>0</v>
      </c>
      <c r="S75" s="93">
        <v>0</v>
      </c>
      <c r="T75" s="93">
        <v>136296.97</v>
      </c>
      <c r="U75" s="93">
        <v>1272105.03</v>
      </c>
      <c r="V75" s="14">
        <f t="shared" si="75"/>
        <v>0</v>
      </c>
      <c r="W75" s="7"/>
      <c r="X75" s="42" t="s">
        <v>116</v>
      </c>
      <c r="Y75" s="38" t="s">
        <v>239</v>
      </c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7"/>
      <c r="AL75" s="94"/>
      <c r="AM75" s="48"/>
      <c r="AN75" s="49"/>
      <c r="AO75" s="50"/>
      <c r="AP75" s="49"/>
      <c r="AQ75" s="50"/>
      <c r="AR75" s="49"/>
      <c r="AS75" s="50"/>
      <c r="AT75" s="49"/>
      <c r="AU75" s="50"/>
      <c r="AV75" s="49"/>
      <c r="AW75" s="50"/>
      <c r="AX75" s="49"/>
      <c r="AY75" s="50"/>
      <c r="AZ75" s="49"/>
      <c r="BA75" s="50"/>
      <c r="BB75" s="49"/>
      <c r="BC75" s="50"/>
      <c r="BD75" s="49"/>
      <c r="BE75" s="50"/>
      <c r="BF75" s="49"/>
      <c r="BG75" s="50"/>
      <c r="BH75" s="49"/>
      <c r="BI75" s="50"/>
      <c r="BJ75" s="49"/>
      <c r="BK75" s="51"/>
    </row>
    <row r="76" spans="1:63" ht="87.6" customHeight="1" x14ac:dyDescent="0.2">
      <c r="A76" s="8"/>
      <c r="B76" s="120" t="s">
        <v>240</v>
      </c>
      <c r="C76" s="235" t="s">
        <v>241</v>
      </c>
      <c r="D76" s="121">
        <f>1399642.4+572437.04</f>
        <v>1972079.44</v>
      </c>
      <c r="E76" s="120" t="s">
        <v>242</v>
      </c>
      <c r="F76" s="120" t="s">
        <v>62</v>
      </c>
      <c r="G76" s="122">
        <f t="shared" si="69"/>
        <v>0</v>
      </c>
      <c r="H76" s="122">
        <f t="shared" si="70"/>
        <v>0</v>
      </c>
      <c r="I76" s="122">
        <f t="shared" si="71"/>
        <v>0.89285714299999996</v>
      </c>
      <c r="J76" s="122">
        <f t="shared" si="72"/>
        <v>0.10714285699999999</v>
      </c>
      <c r="K76" s="123" t="s">
        <v>243</v>
      </c>
      <c r="L76" s="124">
        <v>44635</v>
      </c>
      <c r="M76" s="124">
        <v>45576</v>
      </c>
      <c r="N76" s="53" t="s">
        <v>103</v>
      </c>
      <c r="O76" s="10"/>
      <c r="P76" s="7">
        <v>4</v>
      </c>
      <c r="Q76" s="125">
        <f t="shared" ref="Q76:T76" si="86">ROUND(G76*$D76,2)</f>
        <v>0</v>
      </c>
      <c r="R76" s="125">
        <f t="shared" si="86"/>
        <v>0</v>
      </c>
      <c r="S76" s="125">
        <f t="shared" si="86"/>
        <v>1760785.21</v>
      </c>
      <c r="T76" s="125">
        <f t="shared" si="86"/>
        <v>211294.23</v>
      </c>
      <c r="U76" s="41">
        <f t="shared" ref="U76:U84" si="87">SUM(Q76:T76)</f>
        <v>1972079.44</v>
      </c>
      <c r="V76" s="14">
        <f t="shared" si="75"/>
        <v>0</v>
      </c>
      <c r="W76" s="7"/>
      <c r="X76" s="42" t="s">
        <v>71</v>
      </c>
      <c r="Y76" s="120" t="s">
        <v>244</v>
      </c>
      <c r="Z76" s="126">
        <v>44504</v>
      </c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8"/>
      <c r="AL76" s="129"/>
      <c r="AM76" s="130"/>
      <c r="AN76" s="131"/>
      <c r="AO76" s="132"/>
      <c r="AP76" s="131"/>
      <c r="AQ76" s="132"/>
      <c r="AR76" s="131"/>
      <c r="AS76" s="132"/>
      <c r="AT76" s="131"/>
      <c r="AU76" s="132"/>
      <c r="AV76" s="131"/>
      <c r="AW76" s="132"/>
      <c r="AX76" s="131"/>
      <c r="AY76" s="132"/>
      <c r="AZ76" s="131"/>
      <c r="BA76" s="132"/>
      <c r="BB76" s="131"/>
      <c r="BC76" s="132"/>
      <c r="BD76" s="131"/>
      <c r="BE76" s="132"/>
      <c r="BF76" s="131"/>
      <c r="BG76" s="132"/>
      <c r="BH76" s="131"/>
      <c r="BI76" s="132"/>
      <c r="BJ76" s="131"/>
      <c r="BK76" s="133"/>
    </row>
    <row r="77" spans="1:63" ht="39.75" customHeight="1" x14ac:dyDescent="0.2">
      <c r="A77" s="8"/>
      <c r="B77" s="38" t="s">
        <v>245</v>
      </c>
      <c r="C77" s="230" t="s">
        <v>246</v>
      </c>
      <c r="D77" s="103">
        <v>330145.7</v>
      </c>
      <c r="E77" s="38" t="s">
        <v>202</v>
      </c>
      <c r="F77" s="38" t="s">
        <v>62</v>
      </c>
      <c r="G77" s="39">
        <f t="shared" si="69"/>
        <v>0.46579531350148357</v>
      </c>
      <c r="H77" s="39">
        <f t="shared" si="70"/>
        <v>0.4270618294985164</v>
      </c>
      <c r="I77" s="39">
        <f t="shared" si="71"/>
        <v>0</v>
      </c>
      <c r="J77" s="39">
        <f t="shared" si="72"/>
        <v>0.10714285699999999</v>
      </c>
      <c r="K77" s="119" t="s">
        <v>63</v>
      </c>
      <c r="L77" s="40">
        <v>45194</v>
      </c>
      <c r="M77" s="40">
        <v>46000</v>
      </c>
      <c r="N77" s="38" t="s">
        <v>64</v>
      </c>
      <c r="O77" s="10"/>
      <c r="P77" s="7">
        <v>2</v>
      </c>
      <c r="Q77" s="41">
        <f t="shared" ref="Q77:T77" si="88">ROUND(G77*$D77,2)</f>
        <v>153780.32</v>
      </c>
      <c r="R77" s="41">
        <f t="shared" si="88"/>
        <v>140992.63</v>
      </c>
      <c r="S77" s="41">
        <f t="shared" si="88"/>
        <v>0</v>
      </c>
      <c r="T77" s="41">
        <f t="shared" si="88"/>
        <v>35372.75</v>
      </c>
      <c r="U77" s="41">
        <f t="shared" si="87"/>
        <v>330145.7</v>
      </c>
      <c r="V77" s="14">
        <f t="shared" si="75"/>
        <v>0</v>
      </c>
      <c r="W77" s="7"/>
      <c r="X77" s="42" t="s">
        <v>71</v>
      </c>
      <c r="Y77" s="38" t="s">
        <v>247</v>
      </c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7"/>
      <c r="AL77" s="94"/>
      <c r="AM77" s="48"/>
      <c r="AN77" s="49"/>
      <c r="AO77" s="50"/>
      <c r="AP77" s="49"/>
      <c r="AQ77" s="50"/>
      <c r="AR77" s="49"/>
      <c r="AS77" s="50"/>
      <c r="AT77" s="49"/>
      <c r="AU77" s="50"/>
      <c r="AV77" s="49"/>
      <c r="AW77" s="50"/>
      <c r="AX77" s="49"/>
      <c r="AY77" s="50"/>
      <c r="AZ77" s="49"/>
      <c r="BA77" s="50"/>
      <c r="BB77" s="49"/>
      <c r="BC77" s="50"/>
      <c r="BD77" s="49"/>
      <c r="BE77" s="50"/>
      <c r="BF77" s="49"/>
      <c r="BG77" s="50"/>
      <c r="BH77" s="49"/>
      <c r="BI77" s="50"/>
      <c r="BJ77" s="49"/>
      <c r="BK77" s="51"/>
    </row>
    <row r="78" spans="1:63" ht="60" customHeight="1" x14ac:dyDescent="0.2">
      <c r="A78" s="8"/>
      <c r="B78" s="120" t="s">
        <v>248</v>
      </c>
      <c r="C78" s="236" t="s">
        <v>249</v>
      </c>
      <c r="D78" s="121">
        <f>D31*0.05</f>
        <v>1221789.5939200001</v>
      </c>
      <c r="E78" s="120" t="s">
        <v>242</v>
      </c>
      <c r="F78" s="120" t="s">
        <v>62</v>
      </c>
      <c r="G78" s="122">
        <f t="shared" si="69"/>
        <v>0</v>
      </c>
      <c r="H78" s="122">
        <f t="shared" si="70"/>
        <v>0</v>
      </c>
      <c r="I78" s="122">
        <f t="shared" si="71"/>
        <v>0.89285714299999996</v>
      </c>
      <c r="J78" s="122">
        <f t="shared" si="72"/>
        <v>0.10714285699999999</v>
      </c>
      <c r="K78" s="123" t="s">
        <v>243</v>
      </c>
      <c r="L78" s="124">
        <v>45057</v>
      </c>
      <c r="M78" s="124">
        <v>46001</v>
      </c>
      <c r="N78" s="38" t="s">
        <v>64</v>
      </c>
      <c r="O78" s="10"/>
      <c r="P78" s="7">
        <v>4</v>
      </c>
      <c r="Q78" s="125">
        <f t="shared" ref="Q78:T78" si="89">ROUND(G78*$D78,2)</f>
        <v>0</v>
      </c>
      <c r="R78" s="125">
        <f t="shared" si="89"/>
        <v>0</v>
      </c>
      <c r="S78" s="125">
        <f t="shared" si="89"/>
        <v>1090883.57</v>
      </c>
      <c r="T78" s="125">
        <f t="shared" si="89"/>
        <v>130906.03</v>
      </c>
      <c r="U78" s="41">
        <f t="shared" si="87"/>
        <v>1221789.6000000001</v>
      </c>
      <c r="V78" s="14">
        <f t="shared" si="75"/>
        <v>-6.0799999628216028E-3</v>
      </c>
      <c r="W78" s="7"/>
      <c r="X78" s="42" t="s">
        <v>71</v>
      </c>
      <c r="Y78" s="120" t="s">
        <v>250</v>
      </c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8"/>
      <c r="AL78" s="129"/>
      <c r="AM78" s="130"/>
      <c r="AN78" s="131"/>
      <c r="AO78" s="132"/>
      <c r="AP78" s="131"/>
      <c r="AQ78" s="132"/>
      <c r="AR78" s="131"/>
      <c r="AS78" s="132"/>
      <c r="AT78" s="131"/>
      <c r="AU78" s="132"/>
      <c r="AV78" s="131"/>
      <c r="AW78" s="132"/>
      <c r="AX78" s="131"/>
      <c r="AY78" s="132"/>
      <c r="AZ78" s="131"/>
      <c r="BA78" s="132"/>
      <c r="BB78" s="131"/>
      <c r="BC78" s="132"/>
      <c r="BD78" s="131"/>
      <c r="BE78" s="132"/>
      <c r="BF78" s="131"/>
      <c r="BG78" s="132"/>
      <c r="BH78" s="131"/>
      <c r="BI78" s="132"/>
      <c r="BJ78" s="131"/>
      <c r="BK78" s="133"/>
    </row>
    <row r="79" spans="1:63" ht="39.75" customHeight="1" x14ac:dyDescent="0.2">
      <c r="A79" s="8"/>
      <c r="B79" s="38" t="s">
        <v>251</v>
      </c>
      <c r="C79" s="230" t="s">
        <v>252</v>
      </c>
      <c r="D79" s="103">
        <v>374325.15176000004</v>
      </c>
      <c r="E79" s="38" t="s">
        <v>202</v>
      </c>
      <c r="F79" s="38" t="s">
        <v>62</v>
      </c>
      <c r="G79" s="39">
        <f t="shared" si="69"/>
        <v>0.46579531350148357</v>
      </c>
      <c r="H79" s="39">
        <f t="shared" si="70"/>
        <v>0.4270618294985164</v>
      </c>
      <c r="I79" s="39">
        <f t="shared" si="71"/>
        <v>0</v>
      </c>
      <c r="J79" s="39">
        <f t="shared" si="72"/>
        <v>0.10714285699999999</v>
      </c>
      <c r="K79" s="119" t="s">
        <v>63</v>
      </c>
      <c r="L79" s="40">
        <v>44792</v>
      </c>
      <c r="M79" s="40">
        <v>45593</v>
      </c>
      <c r="N79" s="53" t="s">
        <v>64</v>
      </c>
      <c r="O79" s="10"/>
      <c r="P79" s="7">
        <v>2</v>
      </c>
      <c r="Q79" s="41">
        <f t="shared" ref="Q79:T79" si="90">ROUND(G79*$D79,2)</f>
        <v>174358.9</v>
      </c>
      <c r="R79" s="41">
        <f t="shared" si="90"/>
        <v>159859.98000000001</v>
      </c>
      <c r="S79" s="41">
        <f t="shared" si="90"/>
        <v>0</v>
      </c>
      <c r="T79" s="41">
        <f t="shared" si="90"/>
        <v>40106.269999999997</v>
      </c>
      <c r="U79" s="41">
        <f t="shared" si="87"/>
        <v>374325.15</v>
      </c>
      <c r="V79" s="134">
        <f t="shared" si="75"/>
        <v>1.7600000137463212E-3</v>
      </c>
      <c r="W79" s="98"/>
      <c r="X79" s="42" t="s">
        <v>71</v>
      </c>
      <c r="Y79" s="38" t="s">
        <v>253</v>
      </c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7"/>
      <c r="AL79" s="94"/>
      <c r="AM79" s="48"/>
      <c r="AN79" s="49"/>
      <c r="AO79" s="50"/>
      <c r="AP79" s="49"/>
      <c r="AQ79" s="50"/>
      <c r="AR79" s="49"/>
      <c r="AS79" s="50"/>
      <c r="AT79" s="49"/>
      <c r="AU79" s="50"/>
      <c r="AV79" s="49"/>
      <c r="AW79" s="50"/>
      <c r="AX79" s="49"/>
      <c r="AY79" s="50"/>
      <c r="AZ79" s="49"/>
      <c r="BA79" s="50"/>
      <c r="BB79" s="49"/>
      <c r="BC79" s="50"/>
      <c r="BD79" s="49"/>
      <c r="BE79" s="50"/>
      <c r="BF79" s="49"/>
      <c r="BG79" s="50"/>
      <c r="BH79" s="49"/>
      <c r="BI79" s="50"/>
      <c r="BJ79" s="49"/>
      <c r="BK79" s="51"/>
    </row>
    <row r="80" spans="1:63" ht="39.75" customHeight="1" x14ac:dyDescent="0.2">
      <c r="A80" s="8"/>
      <c r="B80" s="38" t="s">
        <v>254</v>
      </c>
      <c r="C80" s="230" t="s">
        <v>255</v>
      </c>
      <c r="D80" s="103">
        <f>80000*1.12</f>
        <v>89600.000000000015</v>
      </c>
      <c r="E80" s="38" t="s">
        <v>77</v>
      </c>
      <c r="F80" s="38" t="s">
        <v>62</v>
      </c>
      <c r="G80" s="39">
        <f t="shared" si="69"/>
        <v>0.89285714299999996</v>
      </c>
      <c r="H80" s="39">
        <f t="shared" si="70"/>
        <v>0</v>
      </c>
      <c r="I80" s="39">
        <f t="shared" si="71"/>
        <v>0</v>
      </c>
      <c r="J80" s="39">
        <f t="shared" si="72"/>
        <v>0.10714285699999999</v>
      </c>
      <c r="K80" s="38" t="s">
        <v>63</v>
      </c>
      <c r="L80" s="40">
        <v>44755</v>
      </c>
      <c r="M80" s="40">
        <v>45412</v>
      </c>
      <c r="N80" s="38" t="s">
        <v>64</v>
      </c>
      <c r="O80" s="10"/>
      <c r="P80" s="7">
        <v>1</v>
      </c>
      <c r="Q80" s="41">
        <f t="shared" ref="Q80:T80" si="91">ROUND(G80*$D80,2)</f>
        <v>80000</v>
      </c>
      <c r="R80" s="41">
        <f t="shared" si="91"/>
        <v>0</v>
      </c>
      <c r="S80" s="41">
        <f t="shared" si="91"/>
        <v>0</v>
      </c>
      <c r="T80" s="41">
        <f t="shared" si="91"/>
        <v>9600</v>
      </c>
      <c r="U80" s="41">
        <f t="shared" si="87"/>
        <v>89600</v>
      </c>
      <c r="V80" s="14">
        <f t="shared" si="75"/>
        <v>0</v>
      </c>
      <c r="W80" s="7"/>
      <c r="X80" s="42" t="s">
        <v>65</v>
      </c>
      <c r="Y80" s="38" t="s">
        <v>256</v>
      </c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7"/>
      <c r="AL80" s="94"/>
      <c r="AM80" s="48"/>
      <c r="AN80" s="49"/>
      <c r="AO80" s="50"/>
      <c r="AP80" s="49"/>
      <c r="AQ80" s="50"/>
      <c r="AR80" s="49"/>
      <c r="AS80" s="50"/>
      <c r="AT80" s="49"/>
      <c r="AU80" s="50"/>
      <c r="AV80" s="49"/>
      <c r="AW80" s="50"/>
      <c r="AX80" s="49"/>
      <c r="AY80" s="50"/>
      <c r="AZ80" s="49"/>
      <c r="BA80" s="50"/>
      <c r="BB80" s="49"/>
      <c r="BC80" s="50"/>
      <c r="BD80" s="49"/>
      <c r="BE80" s="50"/>
      <c r="BF80" s="49"/>
      <c r="BG80" s="50"/>
      <c r="BH80" s="49"/>
      <c r="BI80" s="50"/>
      <c r="BJ80" s="49"/>
      <c r="BK80" s="51"/>
    </row>
    <row r="81" spans="1:63" ht="39.75" customHeight="1" x14ac:dyDescent="0.2">
      <c r="A81" s="8"/>
      <c r="B81" s="38" t="s">
        <v>257</v>
      </c>
      <c r="C81" s="230" t="s">
        <v>258</v>
      </c>
      <c r="D81" s="103">
        <f>100000*1.12</f>
        <v>112000.00000000001</v>
      </c>
      <c r="E81" s="38" t="s">
        <v>208</v>
      </c>
      <c r="F81" s="38" t="s">
        <v>62</v>
      </c>
      <c r="G81" s="39">
        <f t="shared" si="69"/>
        <v>0.89285714299999996</v>
      </c>
      <c r="H81" s="39">
        <f t="shared" si="70"/>
        <v>0</v>
      </c>
      <c r="I81" s="39">
        <f t="shared" si="71"/>
        <v>0</v>
      </c>
      <c r="J81" s="39">
        <f t="shared" si="72"/>
        <v>0.10714285699999999</v>
      </c>
      <c r="K81" s="38" t="s">
        <v>63</v>
      </c>
      <c r="L81" s="110">
        <v>44490</v>
      </c>
      <c r="M81" s="110">
        <v>44667</v>
      </c>
      <c r="N81" s="53" t="s">
        <v>103</v>
      </c>
      <c r="O81" s="10"/>
      <c r="P81" s="7">
        <v>1</v>
      </c>
      <c r="Q81" s="41">
        <f t="shared" ref="Q81:T81" si="92">ROUND(G81*$D81,2)</f>
        <v>100000</v>
      </c>
      <c r="R81" s="41">
        <f t="shared" si="92"/>
        <v>0</v>
      </c>
      <c r="S81" s="41">
        <f t="shared" si="92"/>
        <v>0</v>
      </c>
      <c r="T81" s="41">
        <f t="shared" si="92"/>
        <v>12000</v>
      </c>
      <c r="U81" s="41">
        <f t="shared" si="87"/>
        <v>112000</v>
      </c>
      <c r="V81" s="14">
        <f t="shared" si="75"/>
        <v>0</v>
      </c>
      <c r="W81" s="7"/>
      <c r="X81" s="42" t="s">
        <v>116</v>
      </c>
      <c r="Y81" s="38" t="s">
        <v>259</v>
      </c>
      <c r="Z81" s="55">
        <v>44504</v>
      </c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7"/>
      <c r="AL81" s="94"/>
      <c r="AM81" s="48"/>
      <c r="AN81" s="49"/>
      <c r="AO81" s="50"/>
      <c r="AP81" s="49"/>
      <c r="AQ81" s="50"/>
      <c r="AR81" s="49"/>
      <c r="AS81" s="50"/>
      <c r="AT81" s="49"/>
      <c r="AU81" s="50"/>
      <c r="AV81" s="49"/>
      <c r="AW81" s="50"/>
      <c r="AX81" s="49"/>
      <c r="AY81" s="50"/>
      <c r="AZ81" s="49"/>
      <c r="BA81" s="50"/>
      <c r="BB81" s="49"/>
      <c r="BC81" s="50"/>
      <c r="BD81" s="49"/>
      <c r="BE81" s="50"/>
      <c r="BF81" s="49"/>
      <c r="BG81" s="50"/>
      <c r="BH81" s="49"/>
      <c r="BI81" s="50"/>
      <c r="BJ81" s="49"/>
      <c r="BK81" s="51"/>
    </row>
    <row r="82" spans="1:63" ht="39.75" hidden="1" customHeight="1" x14ac:dyDescent="0.2">
      <c r="A82" s="8"/>
      <c r="B82" s="38"/>
      <c r="C82" s="230"/>
      <c r="D82" s="103"/>
      <c r="E82" s="38"/>
      <c r="F82" s="38"/>
      <c r="G82" s="39"/>
      <c r="H82" s="39"/>
      <c r="I82" s="39"/>
      <c r="J82" s="39"/>
      <c r="K82" s="38"/>
      <c r="L82" s="52"/>
      <c r="M82" s="52"/>
      <c r="N82" s="38"/>
      <c r="O82" s="10"/>
      <c r="P82" s="7"/>
      <c r="Q82" s="41">
        <f t="shared" ref="Q82:T82" si="93">ROUND(G82*$D82,2)</f>
        <v>0</v>
      </c>
      <c r="R82" s="41">
        <f t="shared" si="93"/>
        <v>0</v>
      </c>
      <c r="S82" s="41">
        <f t="shared" si="93"/>
        <v>0</v>
      </c>
      <c r="T82" s="41">
        <f t="shared" si="93"/>
        <v>0</v>
      </c>
      <c r="U82" s="41">
        <f t="shared" si="87"/>
        <v>0</v>
      </c>
      <c r="V82" s="14">
        <f t="shared" si="75"/>
        <v>0</v>
      </c>
      <c r="W82" s="7"/>
      <c r="X82" s="42"/>
      <c r="Y82" s="38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7"/>
      <c r="AL82" s="94"/>
      <c r="AM82" s="48"/>
      <c r="AN82" s="49"/>
      <c r="AO82" s="50"/>
      <c r="AP82" s="49"/>
      <c r="AQ82" s="50"/>
      <c r="AR82" s="49"/>
      <c r="AS82" s="50"/>
      <c r="AT82" s="49"/>
      <c r="AU82" s="50"/>
      <c r="AV82" s="49"/>
      <c r="AW82" s="50"/>
      <c r="AX82" s="49"/>
      <c r="AY82" s="50"/>
      <c r="AZ82" s="49"/>
      <c r="BA82" s="50"/>
      <c r="BB82" s="49"/>
      <c r="BC82" s="50"/>
      <c r="BD82" s="49"/>
      <c r="BE82" s="50"/>
      <c r="BF82" s="49"/>
      <c r="BG82" s="50"/>
      <c r="BH82" s="49"/>
      <c r="BI82" s="50"/>
      <c r="BJ82" s="49"/>
      <c r="BK82" s="51"/>
    </row>
    <row r="83" spans="1:63" ht="19.5" customHeight="1" x14ac:dyDescent="0.2">
      <c r="A83" s="8"/>
      <c r="B83" s="38"/>
      <c r="C83" s="230"/>
      <c r="D83" s="103"/>
      <c r="E83" s="38"/>
      <c r="F83" s="38"/>
      <c r="G83" s="39"/>
      <c r="H83" s="39"/>
      <c r="I83" s="39"/>
      <c r="J83" s="39"/>
      <c r="K83" s="38"/>
      <c r="L83" s="52"/>
      <c r="M83" s="52"/>
      <c r="N83" s="38"/>
      <c r="O83" s="10"/>
      <c r="P83" s="7"/>
      <c r="Q83" s="41">
        <f t="shared" ref="Q83:T83" si="94">ROUND(G83*$D83,2)</f>
        <v>0</v>
      </c>
      <c r="R83" s="41">
        <f t="shared" si="94"/>
        <v>0</v>
      </c>
      <c r="S83" s="41">
        <f t="shared" si="94"/>
        <v>0</v>
      </c>
      <c r="T83" s="41">
        <f t="shared" si="94"/>
        <v>0</v>
      </c>
      <c r="U83" s="41">
        <f t="shared" si="87"/>
        <v>0</v>
      </c>
      <c r="V83" s="14">
        <f t="shared" si="75"/>
        <v>0</v>
      </c>
      <c r="W83" s="7"/>
      <c r="X83" s="42"/>
      <c r="Y83" s="38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7"/>
      <c r="AL83" s="94"/>
      <c r="AM83" s="68"/>
      <c r="AN83" s="69"/>
      <c r="AO83" s="70"/>
      <c r="AP83" s="69"/>
      <c r="AQ83" s="70"/>
      <c r="AR83" s="69"/>
      <c r="AS83" s="70"/>
      <c r="AT83" s="69"/>
      <c r="AU83" s="70"/>
      <c r="AV83" s="69"/>
      <c r="AW83" s="70"/>
      <c r="AX83" s="69"/>
      <c r="AY83" s="70"/>
      <c r="AZ83" s="69"/>
      <c r="BA83" s="70"/>
      <c r="BB83" s="69"/>
      <c r="BC83" s="70"/>
      <c r="BD83" s="69"/>
      <c r="BE83" s="70"/>
      <c r="BF83" s="69"/>
      <c r="BG83" s="70"/>
      <c r="BH83" s="69"/>
      <c r="BI83" s="70"/>
      <c r="BJ83" s="69"/>
      <c r="BK83" s="51"/>
    </row>
    <row r="84" spans="1:63" ht="19.5" customHeight="1" x14ac:dyDescent="0.2">
      <c r="A84" s="8"/>
      <c r="B84" s="239" t="s">
        <v>260</v>
      </c>
      <c r="C84" s="238"/>
      <c r="D84" s="115">
        <f>SUM(D64:D83)</f>
        <v>8049964.9156800006</v>
      </c>
      <c r="E84" s="72"/>
      <c r="F84" s="72"/>
      <c r="G84" s="73"/>
      <c r="H84" s="73"/>
      <c r="I84" s="73"/>
      <c r="J84" s="73"/>
      <c r="K84" s="72"/>
      <c r="L84" s="74"/>
      <c r="M84" s="74"/>
      <c r="N84" s="72"/>
      <c r="O84" s="10"/>
      <c r="P84" s="7"/>
      <c r="Q84" s="63">
        <f>SUM(Q64:Q83)</f>
        <v>3371054.04</v>
      </c>
      <c r="R84" s="63">
        <f>SUM(R64:R83)</f>
        <v>964745.85</v>
      </c>
      <c r="S84" s="63">
        <f>SUM(S64:S83)</f>
        <v>2851668.7800000003</v>
      </c>
      <c r="T84" s="63">
        <f>SUM(T64:T83)</f>
        <v>862496.25</v>
      </c>
      <c r="U84" s="63">
        <f t="shared" si="87"/>
        <v>8049964.9199999999</v>
      </c>
      <c r="V84" s="14">
        <f t="shared" si="75"/>
        <v>-4.3199993669986725E-3</v>
      </c>
      <c r="W84" s="7"/>
      <c r="X84" s="72"/>
      <c r="Y84" s="72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99"/>
      <c r="AL84" s="78"/>
      <c r="AM84" s="76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8"/>
    </row>
    <row r="85" spans="1:63" ht="19.5" customHeight="1" x14ac:dyDescent="0.2">
      <c r="A85" s="8"/>
      <c r="B85" s="79"/>
      <c r="C85" s="80"/>
      <c r="D85" s="81"/>
      <c r="E85" s="79"/>
      <c r="F85" s="79"/>
      <c r="G85" s="82"/>
      <c r="H85" s="82"/>
      <c r="I85" s="82"/>
      <c r="J85" s="82"/>
      <c r="K85" s="79"/>
      <c r="L85" s="83"/>
      <c r="M85" s="83"/>
      <c r="N85" s="79"/>
      <c r="O85" s="10"/>
      <c r="P85" s="7"/>
      <c r="Q85" s="84"/>
      <c r="R85" s="84"/>
      <c r="S85" s="84"/>
      <c r="T85" s="84"/>
      <c r="U85" s="7"/>
      <c r="V85" s="7"/>
      <c r="W85" s="7"/>
      <c r="X85" s="79"/>
      <c r="Y85" s="79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6"/>
      <c r="AL85" s="75"/>
      <c r="AM85" s="76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5"/>
    </row>
    <row r="86" spans="1:63" ht="19.5" customHeight="1" x14ac:dyDescent="0.2">
      <c r="A86" s="8"/>
      <c r="B86" s="237" t="s">
        <v>261</v>
      </c>
      <c r="C86" s="238"/>
      <c r="D86" s="100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10"/>
      <c r="P86" s="7"/>
      <c r="Q86" s="88"/>
      <c r="R86" s="88"/>
      <c r="S86" s="88"/>
      <c r="T86" s="88"/>
      <c r="U86" s="88"/>
      <c r="V86" s="7"/>
      <c r="W86" s="7"/>
      <c r="X86" s="86"/>
      <c r="Y86" s="8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8"/>
      <c r="AL86" s="89"/>
      <c r="AM86" s="90"/>
      <c r="AN86" s="33"/>
      <c r="AO86" s="32"/>
      <c r="AP86" s="33"/>
      <c r="AQ86" s="32"/>
      <c r="AR86" s="33"/>
      <c r="AS86" s="32"/>
      <c r="AT86" s="33"/>
      <c r="AU86" s="32"/>
      <c r="AV86" s="33"/>
      <c r="AW86" s="32"/>
      <c r="AX86" s="33"/>
      <c r="AY86" s="32"/>
      <c r="AZ86" s="33"/>
      <c r="BA86" s="32"/>
      <c r="BB86" s="33"/>
      <c r="BC86" s="32"/>
      <c r="BD86" s="33"/>
      <c r="BE86" s="32"/>
      <c r="BF86" s="33"/>
      <c r="BG86" s="32"/>
      <c r="BH86" s="33"/>
      <c r="BI86" s="32"/>
      <c r="BJ86" s="33"/>
      <c r="BK86" s="91"/>
    </row>
    <row r="87" spans="1:63" ht="19.5" customHeight="1" x14ac:dyDescent="0.2">
      <c r="A87" s="8"/>
      <c r="B87" s="38" t="s">
        <v>262</v>
      </c>
      <c r="C87" s="225" t="s">
        <v>362</v>
      </c>
      <c r="D87" s="135">
        <f>30000*1.12</f>
        <v>33600</v>
      </c>
      <c r="E87" s="38" t="s">
        <v>263</v>
      </c>
      <c r="F87" s="38" t="s">
        <v>62</v>
      </c>
      <c r="G87" s="39">
        <f t="shared" ref="G87:G109" si="95">VLOOKUP($P87,$P$2:$T$5,2,FALSE)</f>
        <v>0.89285714299999996</v>
      </c>
      <c r="H87" s="39">
        <f t="shared" ref="H87:H109" si="96">VLOOKUP($P87,$P$2:$T$5,3,FALSE)</f>
        <v>0</v>
      </c>
      <c r="I87" s="39">
        <f t="shared" ref="I87:I109" si="97">VLOOKUP($P87,$P$2:$T$5,4,FALSE)</f>
        <v>0</v>
      </c>
      <c r="J87" s="39">
        <f t="shared" ref="J87:J109" si="98">VLOOKUP($P87,$P$2:$T$5,5,FALSE)</f>
        <v>0.10714285699999999</v>
      </c>
      <c r="K87" s="38" t="s">
        <v>63</v>
      </c>
      <c r="L87" s="40">
        <v>44958</v>
      </c>
      <c r="M87" s="40">
        <v>45107</v>
      </c>
      <c r="N87" s="38" t="s">
        <v>64</v>
      </c>
      <c r="O87" s="10"/>
      <c r="P87" s="7">
        <v>1</v>
      </c>
      <c r="Q87" s="41">
        <f t="shared" ref="Q87:T87" si="99">ROUND(G87*$D87,2)</f>
        <v>30000</v>
      </c>
      <c r="R87" s="41">
        <f t="shared" si="99"/>
        <v>0</v>
      </c>
      <c r="S87" s="41">
        <f t="shared" si="99"/>
        <v>0</v>
      </c>
      <c r="T87" s="41">
        <f t="shared" si="99"/>
        <v>3600</v>
      </c>
      <c r="U87" s="41">
        <f t="shared" ref="U87:U114" si="100">SUM(Q87:T87)</f>
        <v>33600</v>
      </c>
      <c r="V87" s="7"/>
      <c r="W87" s="7"/>
      <c r="X87" s="42" t="s">
        <v>71</v>
      </c>
      <c r="Y87" s="38" t="s">
        <v>264</v>
      </c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7"/>
      <c r="AL87" s="94"/>
      <c r="AM87" s="48"/>
      <c r="AN87" s="49"/>
      <c r="AO87" s="50"/>
      <c r="AP87" s="49"/>
      <c r="AQ87" s="50"/>
      <c r="AR87" s="49"/>
      <c r="AS87" s="50"/>
      <c r="AT87" s="49"/>
      <c r="AU87" s="50"/>
      <c r="AV87" s="49"/>
      <c r="AW87" s="50"/>
      <c r="AX87" s="49"/>
      <c r="AY87" s="50"/>
      <c r="AZ87" s="49"/>
      <c r="BA87" s="50"/>
      <c r="BB87" s="49"/>
      <c r="BC87" s="50"/>
      <c r="BD87" s="49"/>
      <c r="BE87" s="50"/>
      <c r="BF87" s="49"/>
      <c r="BG87" s="50"/>
      <c r="BH87" s="49"/>
      <c r="BI87" s="50"/>
      <c r="BJ87" s="49"/>
      <c r="BK87" s="51"/>
    </row>
    <row r="88" spans="1:63" ht="19.5" customHeight="1" x14ac:dyDescent="0.2">
      <c r="A88" s="8"/>
      <c r="B88" s="38" t="s">
        <v>265</v>
      </c>
      <c r="C88" s="225" t="s">
        <v>363</v>
      </c>
      <c r="D88" s="135">
        <f>70000*1.12</f>
        <v>78400.000000000015</v>
      </c>
      <c r="E88" s="38" t="s">
        <v>263</v>
      </c>
      <c r="F88" s="38" t="s">
        <v>62</v>
      </c>
      <c r="G88" s="39">
        <f t="shared" si="95"/>
        <v>0.89285714299999996</v>
      </c>
      <c r="H88" s="39">
        <f t="shared" si="96"/>
        <v>0</v>
      </c>
      <c r="I88" s="39">
        <f t="shared" si="97"/>
        <v>0</v>
      </c>
      <c r="J88" s="39">
        <f t="shared" si="98"/>
        <v>0.10714285699999999</v>
      </c>
      <c r="K88" s="38" t="s">
        <v>63</v>
      </c>
      <c r="L88" s="52">
        <v>45809</v>
      </c>
      <c r="M88" s="52">
        <v>45962</v>
      </c>
      <c r="N88" s="38" t="s">
        <v>64</v>
      </c>
      <c r="O88" s="10"/>
      <c r="P88" s="7">
        <v>1</v>
      </c>
      <c r="Q88" s="41">
        <f t="shared" ref="Q88:T88" si="101">ROUND(G88*$D88,2)</f>
        <v>70000</v>
      </c>
      <c r="R88" s="41">
        <f t="shared" si="101"/>
        <v>0</v>
      </c>
      <c r="S88" s="41">
        <f t="shared" si="101"/>
        <v>0</v>
      </c>
      <c r="T88" s="41">
        <f t="shared" si="101"/>
        <v>8400</v>
      </c>
      <c r="U88" s="41">
        <f t="shared" si="100"/>
        <v>78400</v>
      </c>
      <c r="V88" s="7"/>
      <c r="W88" s="7"/>
      <c r="X88" s="42" t="s">
        <v>71</v>
      </c>
      <c r="Y88" s="38" t="s">
        <v>266</v>
      </c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7"/>
      <c r="AL88" s="94"/>
      <c r="AM88" s="48"/>
      <c r="AN88" s="49"/>
      <c r="AO88" s="50"/>
      <c r="AP88" s="49"/>
      <c r="AQ88" s="50"/>
      <c r="AR88" s="49"/>
      <c r="AS88" s="50"/>
      <c r="AT88" s="49"/>
      <c r="AU88" s="50"/>
      <c r="AV88" s="49"/>
      <c r="AW88" s="50"/>
      <c r="AX88" s="49"/>
      <c r="AY88" s="50"/>
      <c r="AZ88" s="49"/>
      <c r="BA88" s="50"/>
      <c r="BB88" s="49"/>
      <c r="BC88" s="50"/>
      <c r="BD88" s="49"/>
      <c r="BE88" s="50"/>
      <c r="BF88" s="49"/>
      <c r="BG88" s="50"/>
      <c r="BH88" s="49"/>
      <c r="BI88" s="50"/>
      <c r="BJ88" s="49"/>
      <c r="BK88" s="51"/>
    </row>
    <row r="89" spans="1:63" ht="19.5" customHeight="1" x14ac:dyDescent="0.2">
      <c r="A89" s="8"/>
      <c r="B89" s="38" t="s">
        <v>267</v>
      </c>
      <c r="C89" s="225" t="s">
        <v>364</v>
      </c>
      <c r="D89" s="135">
        <f>50000*1.12</f>
        <v>56000.000000000007</v>
      </c>
      <c r="E89" s="38" t="s">
        <v>263</v>
      </c>
      <c r="F89" s="38" t="s">
        <v>62</v>
      </c>
      <c r="G89" s="39">
        <f t="shared" si="95"/>
        <v>0.89285714299999996</v>
      </c>
      <c r="H89" s="39">
        <f t="shared" si="96"/>
        <v>0</v>
      </c>
      <c r="I89" s="39">
        <f t="shared" si="97"/>
        <v>0</v>
      </c>
      <c r="J89" s="39">
        <f t="shared" si="98"/>
        <v>0.10714285699999999</v>
      </c>
      <c r="K89" s="38" t="s">
        <v>63</v>
      </c>
      <c r="L89" s="52">
        <v>45992</v>
      </c>
      <c r="M89" s="52">
        <v>46113</v>
      </c>
      <c r="N89" s="38" t="s">
        <v>64</v>
      </c>
      <c r="O89" s="10"/>
      <c r="P89" s="7">
        <v>1</v>
      </c>
      <c r="Q89" s="41">
        <f t="shared" ref="Q89:T89" si="102">ROUND(G89*$D89,2)</f>
        <v>50000</v>
      </c>
      <c r="R89" s="41">
        <f t="shared" si="102"/>
        <v>0</v>
      </c>
      <c r="S89" s="41">
        <f t="shared" si="102"/>
        <v>0</v>
      </c>
      <c r="T89" s="41">
        <f t="shared" si="102"/>
        <v>6000</v>
      </c>
      <c r="U89" s="41">
        <f t="shared" si="100"/>
        <v>56000</v>
      </c>
      <c r="V89" s="7"/>
      <c r="W89" s="7"/>
      <c r="X89" s="42" t="s">
        <v>71</v>
      </c>
      <c r="Y89" s="38" t="s">
        <v>268</v>
      </c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7"/>
      <c r="AL89" s="94"/>
      <c r="AM89" s="48"/>
      <c r="AN89" s="49"/>
      <c r="AO89" s="50"/>
      <c r="AP89" s="49"/>
      <c r="AQ89" s="50"/>
      <c r="AR89" s="49"/>
      <c r="AS89" s="50"/>
      <c r="AT89" s="49"/>
      <c r="AU89" s="50"/>
      <c r="AV89" s="49"/>
      <c r="AW89" s="50"/>
      <c r="AX89" s="49"/>
      <c r="AY89" s="50"/>
      <c r="AZ89" s="49"/>
      <c r="BA89" s="50"/>
      <c r="BB89" s="49"/>
      <c r="BC89" s="50"/>
      <c r="BD89" s="49"/>
      <c r="BE89" s="50"/>
      <c r="BF89" s="49"/>
      <c r="BG89" s="50"/>
      <c r="BH89" s="49"/>
      <c r="BI89" s="50"/>
      <c r="BJ89" s="49"/>
      <c r="BK89" s="51"/>
    </row>
    <row r="90" spans="1:63" ht="19.5" customHeight="1" x14ac:dyDescent="0.2">
      <c r="A90" s="8"/>
      <c r="B90" s="38" t="s">
        <v>269</v>
      </c>
      <c r="C90" s="42" t="s">
        <v>270</v>
      </c>
      <c r="D90" s="135">
        <f>(204000)*1.12</f>
        <v>228480.00000000003</v>
      </c>
      <c r="E90" s="38" t="s">
        <v>271</v>
      </c>
      <c r="F90" s="38" t="s">
        <v>62</v>
      </c>
      <c r="G90" s="39">
        <f t="shared" si="95"/>
        <v>0.89285714299999996</v>
      </c>
      <c r="H90" s="39">
        <f t="shared" si="96"/>
        <v>0</v>
      </c>
      <c r="I90" s="39">
        <f t="shared" si="97"/>
        <v>0</v>
      </c>
      <c r="J90" s="39">
        <f t="shared" si="98"/>
        <v>0.10714285699999999</v>
      </c>
      <c r="K90" s="38" t="s">
        <v>63</v>
      </c>
      <c r="L90" s="52">
        <v>44411</v>
      </c>
      <c r="M90" s="52">
        <v>45898</v>
      </c>
      <c r="N90" s="38" t="s">
        <v>70</v>
      </c>
      <c r="O90" s="10"/>
      <c r="P90" s="7">
        <v>1</v>
      </c>
      <c r="Q90" s="41">
        <f t="shared" ref="Q90:T90" si="103">ROUND(G90*$D90,2)</f>
        <v>204000</v>
      </c>
      <c r="R90" s="41">
        <f t="shared" si="103"/>
        <v>0</v>
      </c>
      <c r="S90" s="41">
        <f t="shared" si="103"/>
        <v>0</v>
      </c>
      <c r="T90" s="41">
        <f t="shared" si="103"/>
        <v>24480</v>
      </c>
      <c r="U90" s="41">
        <f t="shared" si="100"/>
        <v>228480</v>
      </c>
      <c r="V90" s="7"/>
      <c r="W90" s="7"/>
      <c r="X90" s="42" t="s">
        <v>71</v>
      </c>
      <c r="Y90" s="38" t="s">
        <v>272</v>
      </c>
      <c r="Z90" s="45" t="s">
        <v>73</v>
      </c>
      <c r="AA90" s="45" t="s">
        <v>73</v>
      </c>
      <c r="AB90" s="45">
        <v>44344</v>
      </c>
      <c r="AC90" s="45">
        <v>44386</v>
      </c>
      <c r="AD90" s="45" t="s">
        <v>73</v>
      </c>
      <c r="AE90" s="45">
        <v>44399</v>
      </c>
      <c r="AF90" s="45">
        <v>44405</v>
      </c>
      <c r="AG90" s="45" t="s">
        <v>73</v>
      </c>
      <c r="AH90" s="45" t="s">
        <v>73</v>
      </c>
      <c r="AI90" s="45">
        <v>44411</v>
      </c>
      <c r="AJ90" s="45">
        <v>44408</v>
      </c>
      <c r="AK90" s="47">
        <v>45696</v>
      </c>
      <c r="AL90" s="94" t="s">
        <v>273</v>
      </c>
      <c r="AM90" s="136">
        <v>3562.33</v>
      </c>
      <c r="AN90" s="137">
        <v>44455</v>
      </c>
      <c r="AO90" s="138">
        <v>3808</v>
      </c>
      <c r="AP90" s="109">
        <v>44491</v>
      </c>
      <c r="AQ90" s="138">
        <v>3808</v>
      </c>
      <c r="AR90" s="109">
        <v>44522</v>
      </c>
      <c r="AS90" s="138">
        <v>3808</v>
      </c>
      <c r="AT90" s="49"/>
      <c r="AU90" s="50"/>
      <c r="AV90" s="49"/>
      <c r="AW90" s="50"/>
      <c r="AX90" s="49"/>
      <c r="AY90" s="50"/>
      <c r="AZ90" s="49"/>
      <c r="BA90" s="50"/>
      <c r="BB90" s="49"/>
      <c r="BC90" s="50"/>
      <c r="BD90" s="49"/>
      <c r="BE90" s="50"/>
      <c r="BF90" s="49"/>
      <c r="BG90" s="50"/>
      <c r="BH90" s="49"/>
      <c r="BI90" s="50"/>
      <c r="BJ90" s="49"/>
      <c r="BK90" s="51"/>
    </row>
    <row r="91" spans="1:63" ht="14.25" customHeight="1" x14ac:dyDescent="0.2">
      <c r="A91" s="8"/>
      <c r="B91" s="38" t="s">
        <v>274</v>
      </c>
      <c r="C91" s="42" t="s">
        <v>275</v>
      </c>
      <c r="D91" s="135">
        <f>45600*1.12</f>
        <v>51072.000000000007</v>
      </c>
      <c r="E91" s="38" t="s">
        <v>271</v>
      </c>
      <c r="F91" s="38" t="s">
        <v>62</v>
      </c>
      <c r="G91" s="39">
        <f t="shared" si="95"/>
        <v>0.89285714299999996</v>
      </c>
      <c r="H91" s="39">
        <f t="shared" si="96"/>
        <v>0</v>
      </c>
      <c r="I91" s="39">
        <f t="shared" si="97"/>
        <v>0</v>
      </c>
      <c r="J91" s="39">
        <f t="shared" si="98"/>
        <v>0.10714285699999999</v>
      </c>
      <c r="K91" s="38" t="s">
        <v>63</v>
      </c>
      <c r="L91" s="52">
        <v>44228</v>
      </c>
      <c r="M91" s="52">
        <v>45716</v>
      </c>
      <c r="N91" s="38" t="s">
        <v>70</v>
      </c>
      <c r="O91" s="10"/>
      <c r="P91" s="7">
        <v>1</v>
      </c>
      <c r="Q91" s="41">
        <f t="shared" ref="Q91:T91" si="104">ROUND(G91*$D91,2)</f>
        <v>45600</v>
      </c>
      <c r="R91" s="41">
        <f t="shared" si="104"/>
        <v>0</v>
      </c>
      <c r="S91" s="41">
        <f t="shared" si="104"/>
        <v>0</v>
      </c>
      <c r="T91" s="41">
        <f t="shared" si="104"/>
        <v>5472</v>
      </c>
      <c r="U91" s="41">
        <f t="shared" si="100"/>
        <v>51072</v>
      </c>
      <c r="V91" s="7"/>
      <c r="W91" s="7"/>
      <c r="X91" s="42" t="s">
        <v>71</v>
      </c>
      <c r="Y91" s="53" t="s">
        <v>276</v>
      </c>
      <c r="Z91" s="45" t="s">
        <v>73</v>
      </c>
      <c r="AA91" s="45" t="s">
        <v>73</v>
      </c>
      <c r="AB91" s="45">
        <v>44210</v>
      </c>
      <c r="AC91" s="116">
        <v>44153</v>
      </c>
      <c r="AD91" s="45" t="s">
        <v>73</v>
      </c>
      <c r="AE91" s="116">
        <v>44168</v>
      </c>
      <c r="AF91" s="116">
        <v>44210</v>
      </c>
      <c r="AG91" s="45" t="s">
        <v>73</v>
      </c>
      <c r="AH91" s="45" t="s">
        <v>73</v>
      </c>
      <c r="AI91" s="45">
        <v>44228</v>
      </c>
      <c r="AJ91" s="45">
        <v>44592</v>
      </c>
      <c r="AK91" s="47">
        <v>51072</v>
      </c>
      <c r="AL91" s="94" t="s">
        <v>277</v>
      </c>
      <c r="AM91" s="136">
        <v>4256</v>
      </c>
      <c r="AN91" s="137">
        <v>44293</v>
      </c>
      <c r="AO91" s="139">
        <v>4256</v>
      </c>
      <c r="AP91" s="137">
        <v>44300</v>
      </c>
      <c r="AQ91" s="139">
        <v>4256</v>
      </c>
      <c r="AR91" s="137">
        <v>44329</v>
      </c>
      <c r="AS91" s="139">
        <v>4256</v>
      </c>
      <c r="AT91" s="137">
        <v>44364</v>
      </c>
      <c r="AU91" s="139">
        <v>4256</v>
      </c>
      <c r="AV91" s="137">
        <v>44398</v>
      </c>
      <c r="AW91" s="139">
        <v>4256</v>
      </c>
      <c r="AX91" s="137">
        <v>44426</v>
      </c>
      <c r="AY91" s="139">
        <v>4256</v>
      </c>
      <c r="AZ91" s="137">
        <v>44454</v>
      </c>
      <c r="BA91" s="138">
        <v>4256</v>
      </c>
      <c r="BB91" s="109">
        <v>44488</v>
      </c>
      <c r="BC91" s="138">
        <v>4256</v>
      </c>
      <c r="BD91" s="109">
        <v>44519</v>
      </c>
      <c r="BE91" s="138">
        <v>4256</v>
      </c>
      <c r="BF91" s="49"/>
      <c r="BG91" s="50"/>
      <c r="BH91" s="49"/>
      <c r="BI91" s="50"/>
      <c r="BJ91" s="49"/>
      <c r="BK91" s="51"/>
    </row>
    <row r="92" spans="1:63" ht="14.25" customHeight="1" x14ac:dyDescent="0.2">
      <c r="A92" s="8"/>
      <c r="B92" s="38" t="s">
        <v>278</v>
      </c>
      <c r="C92" s="225" t="s">
        <v>355</v>
      </c>
      <c r="D92" s="135">
        <f t="shared" ref="D92:D93" si="105">40800*1.12</f>
        <v>45696.000000000007</v>
      </c>
      <c r="E92" s="38" t="s">
        <v>271</v>
      </c>
      <c r="F92" s="38" t="s">
        <v>62</v>
      </c>
      <c r="G92" s="39">
        <f t="shared" si="95"/>
        <v>0.89285714299999996</v>
      </c>
      <c r="H92" s="39">
        <f t="shared" si="96"/>
        <v>0</v>
      </c>
      <c r="I92" s="39">
        <f t="shared" si="97"/>
        <v>0</v>
      </c>
      <c r="J92" s="39">
        <f t="shared" si="98"/>
        <v>0.10714285699999999</v>
      </c>
      <c r="K92" s="38" t="s">
        <v>63</v>
      </c>
      <c r="L92" s="52">
        <v>44228</v>
      </c>
      <c r="M92" s="52">
        <v>45716</v>
      </c>
      <c r="N92" s="38" t="s">
        <v>70</v>
      </c>
      <c r="O92" s="10"/>
      <c r="P92" s="7">
        <v>1</v>
      </c>
      <c r="Q92" s="41">
        <f t="shared" ref="Q92:T92" si="106">ROUND(G92*$D92,2)</f>
        <v>40800</v>
      </c>
      <c r="R92" s="41">
        <f t="shared" si="106"/>
        <v>0</v>
      </c>
      <c r="S92" s="41">
        <f t="shared" si="106"/>
        <v>0</v>
      </c>
      <c r="T92" s="41">
        <f t="shared" si="106"/>
        <v>4896</v>
      </c>
      <c r="U92" s="41">
        <f t="shared" si="100"/>
        <v>45696</v>
      </c>
      <c r="V92" s="7"/>
      <c r="W92" s="7"/>
      <c r="X92" s="42" t="s">
        <v>71</v>
      </c>
      <c r="Y92" s="38" t="s">
        <v>279</v>
      </c>
      <c r="Z92" s="45" t="s">
        <v>73</v>
      </c>
      <c r="AA92" s="45" t="s">
        <v>73</v>
      </c>
      <c r="AB92" s="45">
        <v>44210</v>
      </c>
      <c r="AC92" s="116">
        <v>44153</v>
      </c>
      <c r="AD92" s="45" t="s">
        <v>73</v>
      </c>
      <c r="AE92" s="116">
        <v>44168</v>
      </c>
      <c r="AF92" s="45" t="s">
        <v>73</v>
      </c>
      <c r="AG92" s="45" t="s">
        <v>73</v>
      </c>
      <c r="AH92" s="45" t="s">
        <v>73</v>
      </c>
      <c r="AI92" s="45">
        <v>44228</v>
      </c>
      <c r="AJ92" s="45">
        <v>44592</v>
      </c>
      <c r="AK92" s="47">
        <v>45696</v>
      </c>
      <c r="AL92" s="94" t="s">
        <v>280</v>
      </c>
      <c r="AM92" s="136">
        <v>3808</v>
      </c>
      <c r="AN92" s="137">
        <v>44286</v>
      </c>
      <c r="AO92" s="139">
        <v>3808</v>
      </c>
      <c r="AP92" s="137">
        <v>44300</v>
      </c>
      <c r="AQ92" s="139">
        <v>3808</v>
      </c>
      <c r="AR92" s="137">
        <v>44329</v>
      </c>
      <c r="AS92" s="139">
        <v>3808</v>
      </c>
      <c r="AT92" s="137">
        <v>44364</v>
      </c>
      <c r="AU92" s="139">
        <v>3808</v>
      </c>
      <c r="AV92" s="137">
        <v>44398</v>
      </c>
      <c r="AW92" s="139">
        <v>3808</v>
      </c>
      <c r="AX92" s="137">
        <v>44426</v>
      </c>
      <c r="AY92" s="139">
        <v>3808</v>
      </c>
      <c r="AZ92" s="137">
        <v>44454</v>
      </c>
      <c r="BA92" s="138">
        <v>3808</v>
      </c>
      <c r="BB92" s="109">
        <v>44488</v>
      </c>
      <c r="BC92" s="138">
        <v>3808</v>
      </c>
      <c r="BD92" s="109">
        <v>44519</v>
      </c>
      <c r="BE92" s="138">
        <v>3808</v>
      </c>
      <c r="BF92" s="49"/>
      <c r="BG92" s="50"/>
      <c r="BH92" s="49"/>
      <c r="BI92" s="50"/>
      <c r="BJ92" s="49"/>
      <c r="BK92" s="51"/>
    </row>
    <row r="93" spans="1:63" ht="19.5" customHeight="1" x14ac:dyDescent="0.2">
      <c r="A93" s="8"/>
      <c r="B93" s="38" t="s">
        <v>281</v>
      </c>
      <c r="C93" s="225" t="s">
        <v>334</v>
      </c>
      <c r="D93" s="135">
        <f t="shared" si="105"/>
        <v>45696.000000000007</v>
      </c>
      <c r="E93" s="38" t="s">
        <v>271</v>
      </c>
      <c r="F93" s="38" t="s">
        <v>62</v>
      </c>
      <c r="G93" s="39">
        <f t="shared" si="95"/>
        <v>0.89285714299999996</v>
      </c>
      <c r="H93" s="39">
        <f t="shared" si="96"/>
        <v>0</v>
      </c>
      <c r="I93" s="39">
        <f t="shared" si="97"/>
        <v>0</v>
      </c>
      <c r="J93" s="39">
        <f t="shared" si="98"/>
        <v>0.10714285699999999</v>
      </c>
      <c r="K93" s="38" t="s">
        <v>63</v>
      </c>
      <c r="L93" s="52">
        <v>44228</v>
      </c>
      <c r="M93" s="52">
        <v>45716</v>
      </c>
      <c r="N93" s="38" t="s">
        <v>70</v>
      </c>
      <c r="O93" s="10"/>
      <c r="P93" s="7">
        <v>1</v>
      </c>
      <c r="Q93" s="41">
        <f t="shared" ref="Q93:T93" si="107">ROUND(G93*$D93,2)</f>
        <v>40800</v>
      </c>
      <c r="R93" s="41">
        <f t="shared" si="107"/>
        <v>0</v>
      </c>
      <c r="S93" s="41">
        <f t="shared" si="107"/>
        <v>0</v>
      </c>
      <c r="T93" s="41">
        <f t="shared" si="107"/>
        <v>4896</v>
      </c>
      <c r="U93" s="41">
        <f t="shared" si="100"/>
        <v>45696</v>
      </c>
      <c r="V93" s="7"/>
      <c r="W93" s="7"/>
      <c r="X93" s="42" t="s">
        <v>71</v>
      </c>
      <c r="Y93" s="38" t="s">
        <v>282</v>
      </c>
      <c r="Z93" s="45" t="s">
        <v>73</v>
      </c>
      <c r="AA93" s="45" t="s">
        <v>73</v>
      </c>
      <c r="AB93" s="45">
        <v>44210</v>
      </c>
      <c r="AC93" s="116">
        <v>44153</v>
      </c>
      <c r="AD93" s="45" t="s">
        <v>73</v>
      </c>
      <c r="AE93" s="140">
        <v>44173</v>
      </c>
      <c r="AF93" s="116">
        <v>44210</v>
      </c>
      <c r="AG93" s="45" t="s">
        <v>73</v>
      </c>
      <c r="AH93" s="45" t="s">
        <v>73</v>
      </c>
      <c r="AI93" s="45">
        <v>44228</v>
      </c>
      <c r="AJ93" s="45">
        <v>44592</v>
      </c>
      <c r="AK93" s="47">
        <v>45696</v>
      </c>
      <c r="AL93" s="94" t="s">
        <v>283</v>
      </c>
      <c r="AM93" s="136">
        <v>3808</v>
      </c>
      <c r="AN93" s="137">
        <v>44286</v>
      </c>
      <c r="AO93" s="139">
        <v>3808</v>
      </c>
      <c r="AP93" s="137">
        <v>44300</v>
      </c>
      <c r="AQ93" s="139">
        <v>3808</v>
      </c>
      <c r="AR93" s="137">
        <v>44329</v>
      </c>
      <c r="AS93" s="139">
        <v>3808</v>
      </c>
      <c r="AT93" s="137">
        <v>44364</v>
      </c>
      <c r="AU93" s="139">
        <v>3808</v>
      </c>
      <c r="AV93" s="137">
        <v>44398</v>
      </c>
      <c r="AW93" s="139">
        <v>3808</v>
      </c>
      <c r="AX93" s="137">
        <v>44426</v>
      </c>
      <c r="AY93" s="139">
        <v>3808</v>
      </c>
      <c r="AZ93" s="137">
        <v>44454</v>
      </c>
      <c r="BA93" s="138">
        <v>3808</v>
      </c>
      <c r="BB93" s="109">
        <v>44488</v>
      </c>
      <c r="BC93" s="138">
        <v>3808</v>
      </c>
      <c r="BD93" s="109">
        <v>44522</v>
      </c>
      <c r="BE93" s="138">
        <v>3808</v>
      </c>
      <c r="BF93" s="49"/>
      <c r="BG93" s="50"/>
      <c r="BH93" s="49"/>
      <c r="BI93" s="50"/>
      <c r="BJ93" s="49"/>
      <c r="BK93" s="51"/>
    </row>
    <row r="94" spans="1:63" ht="19.5" customHeight="1" x14ac:dyDescent="0.2">
      <c r="A94" s="8"/>
      <c r="B94" s="38" t="s">
        <v>284</v>
      </c>
      <c r="C94" s="42" t="s">
        <v>285</v>
      </c>
      <c r="D94" s="135">
        <f t="shared" ref="D94:D97" si="108">(204000)*1.12</f>
        <v>228480.00000000003</v>
      </c>
      <c r="E94" s="38" t="s">
        <v>271</v>
      </c>
      <c r="F94" s="38" t="s">
        <v>62</v>
      </c>
      <c r="G94" s="39">
        <f t="shared" si="95"/>
        <v>0.89285714299999996</v>
      </c>
      <c r="H94" s="39">
        <f t="shared" si="96"/>
        <v>0</v>
      </c>
      <c r="I94" s="39">
        <f t="shared" si="97"/>
        <v>0</v>
      </c>
      <c r="J94" s="39">
        <f t="shared" si="98"/>
        <v>0.10714285699999999</v>
      </c>
      <c r="K94" s="38" t="s">
        <v>63</v>
      </c>
      <c r="L94" s="52">
        <v>44470</v>
      </c>
      <c r="M94" s="52">
        <v>45960</v>
      </c>
      <c r="N94" s="53" t="s">
        <v>64</v>
      </c>
      <c r="O94" s="10"/>
      <c r="P94" s="7">
        <v>1</v>
      </c>
      <c r="Q94" s="41">
        <f t="shared" ref="Q94:T94" si="109">ROUND(G94*$D94,2)</f>
        <v>204000</v>
      </c>
      <c r="R94" s="41">
        <f t="shared" si="109"/>
        <v>0</v>
      </c>
      <c r="S94" s="41">
        <f t="shared" si="109"/>
        <v>0</v>
      </c>
      <c r="T94" s="41">
        <f t="shared" si="109"/>
        <v>24480</v>
      </c>
      <c r="U94" s="41">
        <f t="shared" si="100"/>
        <v>228480</v>
      </c>
      <c r="V94" s="7"/>
      <c r="W94" s="7"/>
      <c r="X94" s="42" t="s">
        <v>71</v>
      </c>
      <c r="Y94" s="38" t="s">
        <v>286</v>
      </c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7"/>
      <c r="AL94" s="94"/>
      <c r="AM94" s="48"/>
      <c r="AN94" s="49"/>
      <c r="AO94" s="141"/>
      <c r="AP94" s="49"/>
      <c r="AQ94" s="141"/>
      <c r="AR94" s="49"/>
      <c r="AS94" s="141"/>
      <c r="AT94" s="49"/>
      <c r="AU94" s="141"/>
      <c r="AV94" s="49"/>
      <c r="AW94" s="141"/>
      <c r="AX94" s="49"/>
      <c r="AY94" s="141"/>
      <c r="AZ94" s="49"/>
      <c r="BA94" s="50"/>
      <c r="BB94" s="49"/>
      <c r="BC94" s="50"/>
      <c r="BD94" s="49"/>
      <c r="BE94" s="50"/>
      <c r="BF94" s="49"/>
      <c r="BG94" s="50"/>
      <c r="BH94" s="49"/>
      <c r="BI94" s="50"/>
      <c r="BJ94" s="49"/>
      <c r="BK94" s="51"/>
    </row>
    <row r="95" spans="1:63" ht="14.25" customHeight="1" x14ac:dyDescent="0.2">
      <c r="A95" s="8"/>
      <c r="B95" s="38" t="s">
        <v>287</v>
      </c>
      <c r="C95" s="42" t="s">
        <v>288</v>
      </c>
      <c r="D95" s="135">
        <f t="shared" si="108"/>
        <v>228480.00000000003</v>
      </c>
      <c r="E95" s="38" t="s">
        <v>271</v>
      </c>
      <c r="F95" s="38" t="s">
        <v>62</v>
      </c>
      <c r="G95" s="39">
        <f t="shared" si="95"/>
        <v>0.89285714299999996</v>
      </c>
      <c r="H95" s="39">
        <f t="shared" si="96"/>
        <v>0</v>
      </c>
      <c r="I95" s="39">
        <f t="shared" si="97"/>
        <v>0</v>
      </c>
      <c r="J95" s="39">
        <f t="shared" si="98"/>
        <v>0.10714285699999999</v>
      </c>
      <c r="K95" s="38" t="s">
        <v>63</v>
      </c>
      <c r="L95" s="52">
        <v>44470</v>
      </c>
      <c r="M95" s="52">
        <v>45960</v>
      </c>
      <c r="N95" s="38" t="s">
        <v>70</v>
      </c>
      <c r="O95" s="10"/>
      <c r="P95" s="7">
        <v>1</v>
      </c>
      <c r="Q95" s="41">
        <f t="shared" ref="Q95:T95" si="110">ROUND(G95*$D95,2)</f>
        <v>204000</v>
      </c>
      <c r="R95" s="41">
        <f t="shared" si="110"/>
        <v>0</v>
      </c>
      <c r="S95" s="41">
        <f t="shared" si="110"/>
        <v>0</v>
      </c>
      <c r="T95" s="41">
        <f t="shared" si="110"/>
        <v>24480</v>
      </c>
      <c r="U95" s="41">
        <f t="shared" si="100"/>
        <v>228480</v>
      </c>
      <c r="V95" s="7"/>
      <c r="W95" s="7"/>
      <c r="X95" s="42" t="s">
        <v>71</v>
      </c>
      <c r="Y95" s="38" t="s">
        <v>289</v>
      </c>
      <c r="Z95" s="116" t="s">
        <v>73</v>
      </c>
      <c r="AA95" s="116" t="s">
        <v>73</v>
      </c>
      <c r="AB95" s="116">
        <v>44413</v>
      </c>
      <c r="AC95" s="116">
        <v>44414</v>
      </c>
      <c r="AD95" s="116" t="s">
        <v>73</v>
      </c>
      <c r="AE95" s="116">
        <v>44439</v>
      </c>
      <c r="AF95" s="116">
        <v>44456</v>
      </c>
      <c r="AG95" s="116" t="s">
        <v>73</v>
      </c>
      <c r="AH95" s="116" t="s">
        <v>73</v>
      </c>
      <c r="AI95" s="142">
        <v>44470</v>
      </c>
      <c r="AJ95" s="118">
        <v>44834</v>
      </c>
      <c r="AK95" s="143">
        <v>45696</v>
      </c>
      <c r="AL95" s="144" t="s">
        <v>290</v>
      </c>
      <c r="AM95" s="138">
        <v>3808</v>
      </c>
      <c r="AN95" s="109">
        <v>44522</v>
      </c>
      <c r="AO95" s="138">
        <v>3808</v>
      </c>
      <c r="AP95" s="49"/>
      <c r="AQ95" s="141"/>
      <c r="AR95" s="49"/>
      <c r="AS95" s="141"/>
      <c r="AT95" s="49"/>
      <c r="AU95" s="141"/>
      <c r="AV95" s="49"/>
      <c r="AW95" s="141"/>
      <c r="AX95" s="49"/>
      <c r="AY95" s="141"/>
      <c r="AZ95" s="49"/>
      <c r="BA95" s="50"/>
      <c r="BB95" s="49"/>
      <c r="BC95" s="50"/>
      <c r="BD95" s="49"/>
      <c r="BE95" s="50"/>
      <c r="BF95" s="49"/>
      <c r="BG95" s="50"/>
      <c r="BH95" s="49"/>
      <c r="BI95" s="50"/>
      <c r="BJ95" s="49"/>
      <c r="BK95" s="51"/>
    </row>
    <row r="96" spans="1:63" ht="19.5" customHeight="1" x14ac:dyDescent="0.2">
      <c r="A96" s="8"/>
      <c r="B96" s="38" t="s">
        <v>291</v>
      </c>
      <c r="C96" s="42" t="s">
        <v>292</v>
      </c>
      <c r="D96" s="135">
        <f t="shared" si="108"/>
        <v>228480.00000000003</v>
      </c>
      <c r="E96" s="38" t="s">
        <v>271</v>
      </c>
      <c r="F96" s="38" t="s">
        <v>62</v>
      </c>
      <c r="G96" s="39">
        <f t="shared" si="95"/>
        <v>0.89285714299999996</v>
      </c>
      <c r="H96" s="39">
        <f t="shared" si="96"/>
        <v>0</v>
      </c>
      <c r="I96" s="39">
        <f t="shared" si="97"/>
        <v>0</v>
      </c>
      <c r="J96" s="39">
        <f t="shared" si="98"/>
        <v>0.10714285699999999</v>
      </c>
      <c r="K96" s="38" t="s">
        <v>63</v>
      </c>
      <c r="L96" s="52">
        <v>44319</v>
      </c>
      <c r="M96" s="52">
        <v>45807</v>
      </c>
      <c r="N96" s="38" t="s">
        <v>70</v>
      </c>
      <c r="O96" s="10"/>
      <c r="P96" s="7">
        <v>1</v>
      </c>
      <c r="Q96" s="41">
        <f t="shared" ref="Q96:T96" si="111">ROUND(G96*$D96,2)</f>
        <v>204000</v>
      </c>
      <c r="R96" s="41">
        <f t="shared" si="111"/>
        <v>0</v>
      </c>
      <c r="S96" s="41">
        <f t="shared" si="111"/>
        <v>0</v>
      </c>
      <c r="T96" s="41">
        <f t="shared" si="111"/>
        <v>24480</v>
      </c>
      <c r="U96" s="41">
        <f t="shared" si="100"/>
        <v>228480</v>
      </c>
      <c r="V96" s="7"/>
      <c r="W96" s="7"/>
      <c r="X96" s="42" t="s">
        <v>71</v>
      </c>
      <c r="Y96" s="38" t="s">
        <v>293</v>
      </c>
      <c r="Z96" s="45" t="s">
        <v>73</v>
      </c>
      <c r="AA96" s="45" t="s">
        <v>73</v>
      </c>
      <c r="AB96" s="45">
        <v>44308</v>
      </c>
      <c r="AC96" s="116">
        <v>44246</v>
      </c>
      <c r="AD96" s="45" t="s">
        <v>73</v>
      </c>
      <c r="AE96" s="116">
        <v>44301</v>
      </c>
      <c r="AF96" s="116">
        <v>44308</v>
      </c>
      <c r="AG96" s="45" t="s">
        <v>73</v>
      </c>
      <c r="AH96" s="45" t="s">
        <v>73</v>
      </c>
      <c r="AI96" s="45">
        <v>44319</v>
      </c>
      <c r="AJ96" s="45">
        <v>44681</v>
      </c>
      <c r="AK96" s="47">
        <v>45696</v>
      </c>
      <c r="AL96" s="94" t="s">
        <v>294</v>
      </c>
      <c r="AM96" s="136">
        <v>3562.33</v>
      </c>
      <c r="AN96" s="137">
        <v>44364</v>
      </c>
      <c r="AO96" s="139">
        <v>3808</v>
      </c>
      <c r="AP96" s="137">
        <v>44398</v>
      </c>
      <c r="AQ96" s="139">
        <v>3808</v>
      </c>
      <c r="AR96" s="137">
        <v>44428</v>
      </c>
      <c r="AS96" s="139">
        <v>3808</v>
      </c>
      <c r="AT96" s="137">
        <v>44454</v>
      </c>
      <c r="AU96" s="138">
        <v>3808</v>
      </c>
      <c r="AV96" s="109">
        <v>44490</v>
      </c>
      <c r="AW96" s="138">
        <v>3808</v>
      </c>
      <c r="AX96" s="109">
        <v>44522</v>
      </c>
      <c r="AY96" s="138">
        <v>3808</v>
      </c>
      <c r="AZ96" s="49"/>
      <c r="BA96" s="50"/>
      <c r="BB96" s="49"/>
      <c r="BC96" s="50"/>
      <c r="BD96" s="49"/>
      <c r="BE96" s="50"/>
      <c r="BF96" s="49"/>
      <c r="BG96" s="50"/>
      <c r="BH96" s="49"/>
      <c r="BI96" s="50"/>
      <c r="BJ96" s="49"/>
      <c r="BK96" s="51"/>
    </row>
    <row r="97" spans="1:63" ht="19.5" customHeight="1" x14ac:dyDescent="0.2">
      <c r="A97" s="8"/>
      <c r="B97" s="38" t="s">
        <v>295</v>
      </c>
      <c r="C97" s="42" t="s">
        <v>296</v>
      </c>
      <c r="D97" s="135">
        <f t="shared" si="108"/>
        <v>228480.00000000003</v>
      </c>
      <c r="E97" s="38" t="s">
        <v>271</v>
      </c>
      <c r="F97" s="38" t="s">
        <v>62</v>
      </c>
      <c r="G97" s="39">
        <f t="shared" si="95"/>
        <v>0.89285714299999996</v>
      </c>
      <c r="H97" s="39">
        <f t="shared" si="96"/>
        <v>0</v>
      </c>
      <c r="I97" s="39">
        <f t="shared" si="97"/>
        <v>0</v>
      </c>
      <c r="J97" s="39">
        <f t="shared" si="98"/>
        <v>0.10714285699999999</v>
      </c>
      <c r="K97" s="38" t="s">
        <v>63</v>
      </c>
      <c r="L97" s="52">
        <v>44470</v>
      </c>
      <c r="M97" s="52">
        <v>45961</v>
      </c>
      <c r="N97" s="38" t="s">
        <v>70</v>
      </c>
      <c r="O97" s="10"/>
      <c r="P97" s="7">
        <v>1</v>
      </c>
      <c r="Q97" s="41">
        <f t="shared" ref="Q97:T97" si="112">ROUND(G97*$D97,2)</f>
        <v>204000</v>
      </c>
      <c r="R97" s="41">
        <f t="shared" si="112"/>
        <v>0</v>
      </c>
      <c r="S97" s="41">
        <f t="shared" si="112"/>
        <v>0</v>
      </c>
      <c r="T97" s="41">
        <f t="shared" si="112"/>
        <v>24480</v>
      </c>
      <c r="U97" s="41">
        <f t="shared" si="100"/>
        <v>228480</v>
      </c>
      <c r="V97" s="7"/>
      <c r="W97" s="7"/>
      <c r="X97" s="42" t="s">
        <v>71</v>
      </c>
      <c r="Y97" s="38" t="s">
        <v>297</v>
      </c>
      <c r="Z97" s="116" t="s">
        <v>73</v>
      </c>
      <c r="AA97" s="116" t="s">
        <v>73</v>
      </c>
      <c r="AB97" s="116">
        <v>44393</v>
      </c>
      <c r="AC97" s="116">
        <v>44404</v>
      </c>
      <c r="AD97" s="116" t="s">
        <v>73</v>
      </c>
      <c r="AE97" s="116">
        <v>44453</v>
      </c>
      <c r="AF97" s="116">
        <v>44469</v>
      </c>
      <c r="AG97" s="116" t="s">
        <v>73</v>
      </c>
      <c r="AH97" s="116" t="s">
        <v>73</v>
      </c>
      <c r="AI97" s="142">
        <v>44470</v>
      </c>
      <c r="AJ97" s="118">
        <v>44834</v>
      </c>
      <c r="AK97" s="143">
        <v>45696</v>
      </c>
      <c r="AL97" s="144" t="s">
        <v>298</v>
      </c>
      <c r="AM97" s="138">
        <v>3808</v>
      </c>
      <c r="AN97" s="109">
        <v>44522</v>
      </c>
      <c r="AO97" s="138">
        <v>3808</v>
      </c>
      <c r="AP97" s="49"/>
      <c r="AQ97" s="141"/>
      <c r="AR97" s="49"/>
      <c r="AS97" s="141"/>
      <c r="AT97" s="49"/>
      <c r="AU97" s="141"/>
      <c r="AV97" s="49"/>
      <c r="AW97" s="141"/>
      <c r="AX97" s="49"/>
      <c r="AY97" s="141"/>
      <c r="AZ97" s="49"/>
      <c r="BA97" s="50"/>
      <c r="BB97" s="49"/>
      <c r="BC97" s="50"/>
      <c r="BD97" s="49"/>
      <c r="BE97" s="50"/>
      <c r="BF97" s="49"/>
      <c r="BG97" s="50"/>
      <c r="BH97" s="49"/>
      <c r="BI97" s="50"/>
      <c r="BJ97" s="49"/>
      <c r="BK97" s="51"/>
    </row>
    <row r="98" spans="1:63" ht="19.5" customHeight="1" x14ac:dyDescent="0.2">
      <c r="A98" s="8"/>
      <c r="B98" s="38" t="s">
        <v>299</v>
      </c>
      <c r="C98" s="42" t="s">
        <v>300</v>
      </c>
      <c r="D98" s="135">
        <f>40800*1.12</f>
        <v>45696.000000000007</v>
      </c>
      <c r="E98" s="38" t="s">
        <v>271</v>
      </c>
      <c r="F98" s="38" t="s">
        <v>62</v>
      </c>
      <c r="G98" s="39">
        <f t="shared" si="95"/>
        <v>0.89285714299999996</v>
      </c>
      <c r="H98" s="39">
        <f t="shared" si="96"/>
        <v>0</v>
      </c>
      <c r="I98" s="39">
        <f t="shared" si="97"/>
        <v>0</v>
      </c>
      <c r="J98" s="39">
        <f t="shared" si="98"/>
        <v>0.10714285699999999</v>
      </c>
      <c r="K98" s="38" t="s">
        <v>63</v>
      </c>
      <c r="L98" s="52">
        <v>44228</v>
      </c>
      <c r="M98" s="52">
        <v>45716</v>
      </c>
      <c r="N98" s="38" t="s">
        <v>70</v>
      </c>
      <c r="O98" s="10"/>
      <c r="P98" s="7">
        <v>1</v>
      </c>
      <c r="Q98" s="41">
        <f t="shared" ref="Q98:T98" si="113">ROUND(G98*$D98,2)</f>
        <v>40800</v>
      </c>
      <c r="R98" s="41">
        <f t="shared" si="113"/>
        <v>0</v>
      </c>
      <c r="S98" s="41">
        <f t="shared" si="113"/>
        <v>0</v>
      </c>
      <c r="T98" s="41">
        <f t="shared" si="113"/>
        <v>4896</v>
      </c>
      <c r="U98" s="41">
        <f t="shared" si="100"/>
        <v>45696</v>
      </c>
      <c r="V98" s="7"/>
      <c r="W98" s="7"/>
      <c r="X98" s="42" t="s">
        <v>71</v>
      </c>
      <c r="Y98" s="53" t="s">
        <v>301</v>
      </c>
      <c r="Z98" s="45" t="s">
        <v>73</v>
      </c>
      <c r="AA98" s="45" t="s">
        <v>73</v>
      </c>
      <c r="AB98" s="45">
        <v>44210</v>
      </c>
      <c r="AC98" s="116">
        <v>44153</v>
      </c>
      <c r="AD98" s="45" t="s">
        <v>73</v>
      </c>
      <c r="AE98" s="140">
        <v>44173</v>
      </c>
      <c r="AF98" s="116">
        <v>44210</v>
      </c>
      <c r="AG98" s="45" t="s">
        <v>73</v>
      </c>
      <c r="AH98" s="45" t="s">
        <v>73</v>
      </c>
      <c r="AI98" s="45">
        <v>44228</v>
      </c>
      <c r="AJ98" s="45">
        <v>44592</v>
      </c>
      <c r="AK98" s="47">
        <v>45696</v>
      </c>
      <c r="AL98" s="94" t="s">
        <v>302</v>
      </c>
      <c r="AM98" s="136">
        <v>3808</v>
      </c>
      <c r="AN98" s="137">
        <v>44286</v>
      </c>
      <c r="AO98" s="139">
        <v>3808</v>
      </c>
      <c r="AP98" s="137">
        <v>44300</v>
      </c>
      <c r="AQ98" s="139">
        <v>3808</v>
      </c>
      <c r="AR98" s="137">
        <v>44329</v>
      </c>
      <c r="AS98" s="139">
        <v>3808</v>
      </c>
      <c r="AT98" s="137">
        <v>44364</v>
      </c>
      <c r="AU98" s="139">
        <v>3808</v>
      </c>
      <c r="AV98" s="137">
        <v>44398</v>
      </c>
      <c r="AW98" s="139">
        <v>3808</v>
      </c>
      <c r="AX98" s="137">
        <v>44426</v>
      </c>
      <c r="AY98" s="139">
        <v>3808</v>
      </c>
      <c r="AZ98" s="137">
        <v>44454</v>
      </c>
      <c r="BA98" s="138">
        <v>3808</v>
      </c>
      <c r="BB98" s="109">
        <v>44490</v>
      </c>
      <c r="BC98" s="138">
        <v>3808</v>
      </c>
      <c r="BD98" s="109">
        <v>44519</v>
      </c>
      <c r="BE98" s="138">
        <v>3808</v>
      </c>
      <c r="BF98" s="49"/>
      <c r="BG98" s="50"/>
      <c r="BH98" s="49"/>
      <c r="BI98" s="50"/>
      <c r="BJ98" s="49"/>
      <c r="BK98" s="51"/>
    </row>
    <row r="99" spans="1:63" ht="19.5" customHeight="1" x14ac:dyDescent="0.2">
      <c r="A99" s="8"/>
      <c r="B99" s="38" t="s">
        <v>303</v>
      </c>
      <c r="C99" s="42" t="s">
        <v>304</v>
      </c>
      <c r="D99" s="135">
        <f>+(132000)*1.12</f>
        <v>147840</v>
      </c>
      <c r="E99" s="38" t="s">
        <v>271</v>
      </c>
      <c r="F99" s="38" t="s">
        <v>62</v>
      </c>
      <c r="G99" s="39">
        <f t="shared" si="95"/>
        <v>0.89285714299999996</v>
      </c>
      <c r="H99" s="39">
        <f t="shared" si="96"/>
        <v>0</v>
      </c>
      <c r="I99" s="39">
        <f t="shared" si="97"/>
        <v>0</v>
      </c>
      <c r="J99" s="39">
        <f t="shared" si="98"/>
        <v>0.10714285699999999</v>
      </c>
      <c r="K99" s="38" t="s">
        <v>63</v>
      </c>
      <c r="L99" s="52">
        <v>44593</v>
      </c>
      <c r="M99" s="52">
        <v>46014</v>
      </c>
      <c r="N99" s="38" t="s">
        <v>64</v>
      </c>
      <c r="O99" s="10"/>
      <c r="P99" s="7">
        <v>1</v>
      </c>
      <c r="Q99" s="41">
        <f t="shared" ref="Q99:T99" si="114">ROUND(G99*$D99,2)</f>
        <v>132000</v>
      </c>
      <c r="R99" s="41">
        <f t="shared" si="114"/>
        <v>0</v>
      </c>
      <c r="S99" s="41">
        <f t="shared" si="114"/>
        <v>0</v>
      </c>
      <c r="T99" s="41">
        <f t="shared" si="114"/>
        <v>15840</v>
      </c>
      <c r="U99" s="41">
        <f t="shared" si="100"/>
        <v>147840</v>
      </c>
      <c r="V99" s="7"/>
      <c r="W99" s="7"/>
      <c r="X99" s="42" t="s">
        <v>71</v>
      </c>
      <c r="Y99" s="38" t="s">
        <v>305</v>
      </c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7"/>
      <c r="AL99" s="94"/>
      <c r="AM99" s="48"/>
      <c r="AN99" s="49"/>
      <c r="AO99" s="50"/>
      <c r="AP99" s="49"/>
      <c r="AQ99" s="50"/>
      <c r="AR99" s="49"/>
      <c r="AS99" s="50"/>
      <c r="AT99" s="49"/>
      <c r="AU99" s="50"/>
      <c r="AV99" s="49"/>
      <c r="AW99" s="50"/>
      <c r="AX99" s="49"/>
      <c r="AY99" s="50"/>
      <c r="AZ99" s="49"/>
      <c r="BA99" s="50"/>
      <c r="BB99" s="49"/>
      <c r="BC99" s="50"/>
      <c r="BD99" s="49"/>
      <c r="BE99" s="50"/>
      <c r="BF99" s="49"/>
      <c r="BG99" s="50"/>
      <c r="BH99" s="49"/>
      <c r="BI99" s="50"/>
      <c r="BJ99" s="49"/>
      <c r="BK99" s="51"/>
    </row>
    <row r="100" spans="1:63" ht="19.5" customHeight="1" x14ac:dyDescent="0.2">
      <c r="A100" s="8"/>
      <c r="B100" s="38" t="s">
        <v>306</v>
      </c>
      <c r="C100" s="114" t="s">
        <v>307</v>
      </c>
      <c r="D100" s="135">
        <f>+(108000)*1.12</f>
        <v>120960.00000000001</v>
      </c>
      <c r="E100" s="38" t="s">
        <v>271</v>
      </c>
      <c r="F100" s="38" t="s">
        <v>62</v>
      </c>
      <c r="G100" s="39">
        <f t="shared" si="95"/>
        <v>0.89285714299999996</v>
      </c>
      <c r="H100" s="39">
        <f t="shared" si="96"/>
        <v>0</v>
      </c>
      <c r="I100" s="39">
        <f t="shared" si="97"/>
        <v>0</v>
      </c>
      <c r="J100" s="39">
        <f t="shared" si="98"/>
        <v>0.10714285699999999</v>
      </c>
      <c r="K100" s="38" t="s">
        <v>63</v>
      </c>
      <c r="L100" s="52">
        <v>44593</v>
      </c>
      <c r="M100" s="52">
        <v>46014</v>
      </c>
      <c r="N100" s="38" t="s">
        <v>64</v>
      </c>
      <c r="O100" s="10"/>
      <c r="P100" s="7">
        <v>1</v>
      </c>
      <c r="Q100" s="41">
        <f t="shared" ref="Q100:T100" si="115">ROUND(G100*$D100,2)</f>
        <v>108000</v>
      </c>
      <c r="R100" s="41">
        <f t="shared" si="115"/>
        <v>0</v>
      </c>
      <c r="S100" s="41">
        <f t="shared" si="115"/>
        <v>0</v>
      </c>
      <c r="T100" s="41">
        <f t="shared" si="115"/>
        <v>12960</v>
      </c>
      <c r="U100" s="41">
        <f t="shared" si="100"/>
        <v>120960</v>
      </c>
      <c r="V100" s="7"/>
      <c r="W100" s="7"/>
      <c r="X100" s="42" t="s">
        <v>71</v>
      </c>
      <c r="Y100" s="38" t="s">
        <v>308</v>
      </c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7"/>
      <c r="AL100" s="94"/>
      <c r="AM100" s="48"/>
      <c r="AN100" s="49"/>
      <c r="AO100" s="50"/>
      <c r="AP100" s="49"/>
      <c r="AQ100" s="50"/>
      <c r="AR100" s="49"/>
      <c r="AS100" s="50"/>
      <c r="AT100" s="49"/>
      <c r="AU100" s="50"/>
      <c r="AV100" s="49"/>
      <c r="AW100" s="50"/>
      <c r="AX100" s="49"/>
      <c r="AY100" s="50"/>
      <c r="AZ100" s="49"/>
      <c r="BA100" s="50"/>
      <c r="BB100" s="49"/>
      <c r="BC100" s="50"/>
      <c r="BD100" s="49"/>
      <c r="BE100" s="50"/>
      <c r="BF100" s="49"/>
      <c r="BG100" s="50"/>
      <c r="BH100" s="49"/>
      <c r="BI100" s="50"/>
      <c r="BJ100" s="49"/>
      <c r="BK100" s="51"/>
    </row>
    <row r="101" spans="1:63" ht="19.5" customHeight="1" x14ac:dyDescent="0.2">
      <c r="A101" s="8"/>
      <c r="B101" s="38" t="s">
        <v>309</v>
      </c>
      <c r="C101" s="42" t="s">
        <v>310</v>
      </c>
      <c r="D101" s="135">
        <f t="shared" ref="D101:D103" si="116">180000*1.12</f>
        <v>201600.00000000003</v>
      </c>
      <c r="E101" s="38" t="s">
        <v>271</v>
      </c>
      <c r="F101" s="38" t="s">
        <v>62</v>
      </c>
      <c r="G101" s="39">
        <f t="shared" si="95"/>
        <v>0.89285714299999996</v>
      </c>
      <c r="H101" s="39">
        <f t="shared" si="96"/>
        <v>0</v>
      </c>
      <c r="I101" s="39">
        <f t="shared" si="97"/>
        <v>0</v>
      </c>
      <c r="J101" s="39">
        <f t="shared" si="98"/>
        <v>0.10714285699999999</v>
      </c>
      <c r="K101" s="38" t="s">
        <v>63</v>
      </c>
      <c r="L101" s="52">
        <v>44470</v>
      </c>
      <c r="M101" s="52">
        <v>45960</v>
      </c>
      <c r="N101" s="53" t="s">
        <v>70</v>
      </c>
      <c r="O101" s="10"/>
      <c r="P101" s="7">
        <v>1</v>
      </c>
      <c r="Q101" s="41">
        <f t="shared" ref="Q101:T101" si="117">ROUND(G101*$D101,2)</f>
        <v>180000</v>
      </c>
      <c r="R101" s="41">
        <f t="shared" si="117"/>
        <v>0</v>
      </c>
      <c r="S101" s="41">
        <f t="shared" si="117"/>
        <v>0</v>
      </c>
      <c r="T101" s="41">
        <f t="shared" si="117"/>
        <v>21600</v>
      </c>
      <c r="U101" s="41">
        <f t="shared" si="100"/>
        <v>201600</v>
      </c>
      <c r="V101" s="7"/>
      <c r="W101" s="7"/>
      <c r="X101" s="42" t="s">
        <v>71</v>
      </c>
      <c r="Y101" s="38" t="s">
        <v>311</v>
      </c>
      <c r="Z101" s="53" t="s">
        <v>73</v>
      </c>
      <c r="AA101" s="53" t="s">
        <v>73</v>
      </c>
      <c r="AB101" s="55">
        <v>44308</v>
      </c>
      <c r="AC101" s="55">
        <v>44315</v>
      </c>
      <c r="AD101" s="53" t="s">
        <v>73</v>
      </c>
      <c r="AE101" s="55">
        <v>44488</v>
      </c>
      <c r="AF101" s="55">
        <v>44497</v>
      </c>
      <c r="AG101" s="53" t="s">
        <v>73</v>
      </c>
      <c r="AH101" s="53" t="s">
        <v>73</v>
      </c>
      <c r="AI101" s="55">
        <v>44504</v>
      </c>
      <c r="AJ101" s="55">
        <v>44868</v>
      </c>
      <c r="AK101" s="58">
        <v>40320</v>
      </c>
      <c r="AL101" s="113" t="s">
        <v>312</v>
      </c>
      <c r="AM101" s="48"/>
      <c r="AN101" s="49"/>
      <c r="AO101" s="50"/>
      <c r="AP101" s="49"/>
      <c r="AQ101" s="50"/>
      <c r="AR101" s="49"/>
      <c r="AS101" s="50"/>
      <c r="AT101" s="49"/>
      <c r="AU101" s="50"/>
      <c r="AV101" s="49"/>
      <c r="AW101" s="50"/>
      <c r="AX101" s="49"/>
      <c r="AY101" s="50"/>
      <c r="AZ101" s="49"/>
      <c r="BA101" s="50"/>
      <c r="BB101" s="49"/>
      <c r="BC101" s="50"/>
      <c r="BD101" s="49"/>
      <c r="BE101" s="50"/>
      <c r="BF101" s="49"/>
      <c r="BG101" s="50"/>
      <c r="BH101" s="49"/>
      <c r="BI101" s="50"/>
      <c r="BJ101" s="49"/>
      <c r="BK101" s="51"/>
    </row>
    <row r="102" spans="1:63" ht="19.5" customHeight="1" x14ac:dyDescent="0.2">
      <c r="A102" s="8"/>
      <c r="B102" s="38" t="s">
        <v>309</v>
      </c>
      <c r="C102" s="42" t="s">
        <v>310</v>
      </c>
      <c r="D102" s="135">
        <f t="shared" si="116"/>
        <v>201600.00000000003</v>
      </c>
      <c r="E102" s="38" t="s">
        <v>271</v>
      </c>
      <c r="F102" s="38" t="s">
        <v>62</v>
      </c>
      <c r="G102" s="39">
        <f t="shared" si="95"/>
        <v>0.89285714299999996</v>
      </c>
      <c r="H102" s="39">
        <f t="shared" si="96"/>
        <v>0</v>
      </c>
      <c r="I102" s="39">
        <f t="shared" si="97"/>
        <v>0</v>
      </c>
      <c r="J102" s="39">
        <f t="shared" si="98"/>
        <v>0.10714285699999999</v>
      </c>
      <c r="K102" s="38" t="s">
        <v>63</v>
      </c>
      <c r="L102" s="52">
        <v>44470</v>
      </c>
      <c r="M102" s="52">
        <v>45960</v>
      </c>
      <c r="N102" s="38" t="s">
        <v>64</v>
      </c>
      <c r="O102" s="10"/>
      <c r="P102" s="7">
        <v>1</v>
      </c>
      <c r="Q102" s="41">
        <f t="shared" ref="Q102:T102" si="118">ROUND(G102*$D102,2)</f>
        <v>180000</v>
      </c>
      <c r="R102" s="41">
        <f t="shared" si="118"/>
        <v>0</v>
      </c>
      <c r="S102" s="41">
        <f t="shared" si="118"/>
        <v>0</v>
      </c>
      <c r="T102" s="41">
        <f t="shared" si="118"/>
        <v>21600</v>
      </c>
      <c r="U102" s="41">
        <f t="shared" si="100"/>
        <v>201600</v>
      </c>
      <c r="V102" s="7"/>
      <c r="W102" s="7"/>
      <c r="X102" s="42" t="s">
        <v>71</v>
      </c>
      <c r="Y102" s="38" t="s">
        <v>311</v>
      </c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7"/>
      <c r="AL102" s="94"/>
      <c r="AM102" s="48"/>
      <c r="AN102" s="49"/>
      <c r="AO102" s="50"/>
      <c r="AP102" s="49"/>
      <c r="AQ102" s="50"/>
      <c r="AR102" s="49"/>
      <c r="AS102" s="50"/>
      <c r="AT102" s="49"/>
      <c r="AU102" s="50"/>
      <c r="AV102" s="49"/>
      <c r="AW102" s="50"/>
      <c r="AX102" s="49"/>
      <c r="AY102" s="50"/>
      <c r="AZ102" s="49"/>
      <c r="BA102" s="50"/>
      <c r="BB102" s="49"/>
      <c r="BC102" s="50"/>
      <c r="BD102" s="49"/>
      <c r="BE102" s="50"/>
      <c r="BF102" s="49"/>
      <c r="BG102" s="50"/>
      <c r="BH102" s="49"/>
      <c r="BI102" s="50"/>
      <c r="BJ102" s="49"/>
      <c r="BK102" s="51"/>
    </row>
    <row r="103" spans="1:63" ht="19.5" customHeight="1" x14ac:dyDescent="0.2">
      <c r="A103" s="8"/>
      <c r="B103" s="38" t="s">
        <v>309</v>
      </c>
      <c r="C103" s="42" t="s">
        <v>310</v>
      </c>
      <c r="D103" s="135">
        <f t="shared" si="116"/>
        <v>201600.00000000003</v>
      </c>
      <c r="E103" s="38" t="s">
        <v>271</v>
      </c>
      <c r="F103" s="38" t="s">
        <v>62</v>
      </c>
      <c r="G103" s="39">
        <f t="shared" si="95"/>
        <v>0.89285714299999996</v>
      </c>
      <c r="H103" s="39">
        <f t="shared" si="96"/>
        <v>0</v>
      </c>
      <c r="I103" s="39">
        <f t="shared" si="97"/>
        <v>0</v>
      </c>
      <c r="J103" s="39">
        <f t="shared" si="98"/>
        <v>0.10714285699999999</v>
      </c>
      <c r="K103" s="38" t="s">
        <v>63</v>
      </c>
      <c r="L103" s="52">
        <v>44470</v>
      </c>
      <c r="M103" s="52">
        <v>45960</v>
      </c>
      <c r="N103" s="38" t="s">
        <v>64</v>
      </c>
      <c r="O103" s="10"/>
      <c r="P103" s="7">
        <v>1</v>
      </c>
      <c r="Q103" s="41">
        <f t="shared" ref="Q103:T103" si="119">ROUND(G103*$D103,2)</f>
        <v>180000</v>
      </c>
      <c r="R103" s="41">
        <f t="shared" si="119"/>
        <v>0</v>
      </c>
      <c r="S103" s="41">
        <f t="shared" si="119"/>
        <v>0</v>
      </c>
      <c r="T103" s="41">
        <f t="shared" si="119"/>
        <v>21600</v>
      </c>
      <c r="U103" s="41">
        <f t="shared" si="100"/>
        <v>201600</v>
      </c>
      <c r="V103" s="7"/>
      <c r="W103" s="7"/>
      <c r="X103" s="42" t="s">
        <v>71</v>
      </c>
      <c r="Y103" s="38" t="s">
        <v>313</v>
      </c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7"/>
      <c r="AL103" s="94"/>
      <c r="AM103" s="48"/>
      <c r="AN103" s="49"/>
      <c r="AO103" s="50"/>
      <c r="AP103" s="49"/>
      <c r="AQ103" s="50"/>
      <c r="AR103" s="49"/>
      <c r="AS103" s="50"/>
      <c r="AT103" s="49"/>
      <c r="AU103" s="50"/>
      <c r="AV103" s="49"/>
      <c r="AW103" s="50"/>
      <c r="AX103" s="49"/>
      <c r="AY103" s="50"/>
      <c r="AZ103" s="49"/>
      <c r="BA103" s="50"/>
      <c r="BB103" s="49"/>
      <c r="BC103" s="50"/>
      <c r="BD103" s="49"/>
      <c r="BE103" s="50"/>
      <c r="BF103" s="49"/>
      <c r="BG103" s="50"/>
      <c r="BH103" s="49"/>
      <c r="BI103" s="50"/>
      <c r="BJ103" s="49"/>
      <c r="BK103" s="51"/>
    </row>
    <row r="104" spans="1:63" ht="19.5" customHeight="1" x14ac:dyDescent="0.2">
      <c r="A104" s="8"/>
      <c r="B104" s="38" t="s">
        <v>314</v>
      </c>
      <c r="C104" s="225" t="s">
        <v>365</v>
      </c>
      <c r="D104" s="145">
        <f t="shared" ref="D104:D105" si="120">60000*1.12</f>
        <v>67200</v>
      </c>
      <c r="E104" s="38" t="s">
        <v>271</v>
      </c>
      <c r="F104" s="38" t="s">
        <v>62</v>
      </c>
      <c r="G104" s="39">
        <f t="shared" si="95"/>
        <v>0.89285714299999996</v>
      </c>
      <c r="H104" s="39">
        <f t="shared" si="96"/>
        <v>0</v>
      </c>
      <c r="I104" s="39">
        <f t="shared" si="97"/>
        <v>0</v>
      </c>
      <c r="J104" s="39">
        <f t="shared" si="98"/>
        <v>0.10714285699999999</v>
      </c>
      <c r="K104" s="38" t="s">
        <v>63</v>
      </c>
      <c r="L104" s="40">
        <v>44652</v>
      </c>
      <c r="M104" s="52">
        <v>46014</v>
      </c>
      <c r="N104" s="38" t="s">
        <v>64</v>
      </c>
      <c r="O104" s="10"/>
      <c r="P104" s="7">
        <v>1</v>
      </c>
      <c r="Q104" s="41">
        <f t="shared" ref="Q104:T104" si="121">ROUND(G104*$D104,2)</f>
        <v>60000</v>
      </c>
      <c r="R104" s="41">
        <f t="shared" si="121"/>
        <v>0</v>
      </c>
      <c r="S104" s="41">
        <f t="shared" si="121"/>
        <v>0</v>
      </c>
      <c r="T104" s="41">
        <f t="shared" si="121"/>
        <v>7200</v>
      </c>
      <c r="U104" s="41">
        <f t="shared" si="100"/>
        <v>67200</v>
      </c>
      <c r="V104" s="7"/>
      <c r="W104" s="7"/>
      <c r="X104" s="42" t="s">
        <v>71</v>
      </c>
      <c r="Y104" s="38" t="s">
        <v>315</v>
      </c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7"/>
      <c r="AL104" s="94"/>
      <c r="AM104" s="48"/>
      <c r="AN104" s="49"/>
      <c r="AO104" s="50"/>
      <c r="AP104" s="49"/>
      <c r="AQ104" s="50"/>
      <c r="AR104" s="49"/>
      <c r="AS104" s="50"/>
      <c r="AT104" s="49"/>
      <c r="AU104" s="50"/>
      <c r="AV104" s="49"/>
      <c r="AW104" s="50"/>
      <c r="AX104" s="49"/>
      <c r="AY104" s="50"/>
      <c r="AZ104" s="49"/>
      <c r="BA104" s="50"/>
      <c r="BB104" s="49"/>
      <c r="BC104" s="50"/>
      <c r="BD104" s="49"/>
      <c r="BE104" s="50"/>
      <c r="BF104" s="49"/>
      <c r="BG104" s="50"/>
      <c r="BH104" s="49"/>
      <c r="BI104" s="50"/>
      <c r="BJ104" s="49"/>
      <c r="BK104" s="51"/>
    </row>
    <row r="105" spans="1:63" ht="19.5" customHeight="1" x14ac:dyDescent="0.2">
      <c r="A105" s="8"/>
      <c r="B105" s="38" t="s">
        <v>316</v>
      </c>
      <c r="C105" s="225" t="s">
        <v>366</v>
      </c>
      <c r="D105" s="145">
        <f t="shared" si="120"/>
        <v>67200</v>
      </c>
      <c r="E105" s="38" t="s">
        <v>271</v>
      </c>
      <c r="F105" s="38" t="s">
        <v>62</v>
      </c>
      <c r="G105" s="39">
        <f t="shared" si="95"/>
        <v>0.89285714299999996</v>
      </c>
      <c r="H105" s="39">
        <f t="shared" si="96"/>
        <v>0</v>
      </c>
      <c r="I105" s="39">
        <f t="shared" si="97"/>
        <v>0</v>
      </c>
      <c r="J105" s="39">
        <f t="shared" si="98"/>
        <v>0.10714285699999999</v>
      </c>
      <c r="K105" s="38" t="s">
        <v>63</v>
      </c>
      <c r="L105" s="40">
        <v>44653</v>
      </c>
      <c r="M105" s="52">
        <v>46015</v>
      </c>
      <c r="N105" s="38" t="s">
        <v>64</v>
      </c>
      <c r="O105" s="10"/>
      <c r="P105" s="7">
        <v>1</v>
      </c>
      <c r="Q105" s="41">
        <f t="shared" ref="Q105:T105" si="122">ROUND(G105*$D105,2)</f>
        <v>60000</v>
      </c>
      <c r="R105" s="41">
        <f t="shared" si="122"/>
        <v>0</v>
      </c>
      <c r="S105" s="41">
        <f t="shared" si="122"/>
        <v>0</v>
      </c>
      <c r="T105" s="41">
        <f t="shared" si="122"/>
        <v>7200</v>
      </c>
      <c r="U105" s="41">
        <f t="shared" si="100"/>
        <v>67200</v>
      </c>
      <c r="V105" s="7"/>
      <c r="W105" s="7"/>
      <c r="X105" s="42" t="s">
        <v>71</v>
      </c>
      <c r="Y105" s="38" t="s">
        <v>317</v>
      </c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7"/>
      <c r="AL105" s="94"/>
      <c r="AM105" s="48"/>
      <c r="AN105" s="49"/>
      <c r="AO105" s="50"/>
      <c r="AP105" s="49"/>
      <c r="AQ105" s="50"/>
      <c r="AR105" s="49"/>
      <c r="AS105" s="50"/>
      <c r="AT105" s="49"/>
      <c r="AU105" s="50"/>
      <c r="AV105" s="49"/>
      <c r="AW105" s="50"/>
      <c r="AX105" s="49"/>
      <c r="AY105" s="50"/>
      <c r="AZ105" s="49"/>
      <c r="BA105" s="50"/>
      <c r="BB105" s="49"/>
      <c r="BC105" s="50"/>
      <c r="BD105" s="49"/>
      <c r="BE105" s="50"/>
      <c r="BF105" s="49"/>
      <c r="BG105" s="50"/>
      <c r="BH105" s="49"/>
      <c r="BI105" s="50"/>
      <c r="BJ105" s="49"/>
      <c r="BK105" s="51"/>
    </row>
    <row r="106" spans="1:63" ht="19.5" customHeight="1" x14ac:dyDescent="0.25">
      <c r="A106" s="8"/>
      <c r="B106" s="38" t="s">
        <v>318</v>
      </c>
      <c r="C106" s="42" t="s">
        <v>319</v>
      </c>
      <c r="D106" s="135">
        <v>30240</v>
      </c>
      <c r="E106" s="38" t="s">
        <v>271</v>
      </c>
      <c r="F106" s="38" t="s">
        <v>62</v>
      </c>
      <c r="G106" s="39">
        <f t="shared" si="95"/>
        <v>0.89285714299999996</v>
      </c>
      <c r="H106" s="39">
        <f t="shared" si="96"/>
        <v>0</v>
      </c>
      <c r="I106" s="39">
        <f t="shared" si="97"/>
        <v>0</v>
      </c>
      <c r="J106" s="39">
        <f t="shared" si="98"/>
        <v>0.10714285699999999</v>
      </c>
      <c r="K106" s="38" t="s">
        <v>63</v>
      </c>
      <c r="L106" s="52">
        <v>44413</v>
      </c>
      <c r="M106" s="52">
        <v>45145</v>
      </c>
      <c r="N106" s="38" t="s">
        <v>70</v>
      </c>
      <c r="O106" s="10"/>
      <c r="P106" s="7">
        <v>1</v>
      </c>
      <c r="Q106" s="41">
        <f t="shared" ref="Q106:T106" si="123">ROUND(G106*$D106,2)</f>
        <v>27000</v>
      </c>
      <c r="R106" s="41">
        <f t="shared" si="123"/>
        <v>0</v>
      </c>
      <c r="S106" s="41">
        <f t="shared" si="123"/>
        <v>0</v>
      </c>
      <c r="T106" s="41">
        <f t="shared" si="123"/>
        <v>3240</v>
      </c>
      <c r="U106" s="41">
        <f t="shared" si="100"/>
        <v>30240</v>
      </c>
      <c r="V106" s="7"/>
      <c r="W106" s="7"/>
      <c r="X106" s="42" t="s">
        <v>71</v>
      </c>
      <c r="Y106" s="38" t="s">
        <v>320</v>
      </c>
      <c r="Z106" s="116" t="s">
        <v>73</v>
      </c>
      <c r="AA106" s="116" t="s">
        <v>73</v>
      </c>
      <c r="AB106" s="116">
        <v>44345</v>
      </c>
      <c r="AC106" s="45"/>
      <c r="AD106" s="116" t="s">
        <v>73</v>
      </c>
      <c r="AE106" s="116">
        <v>44376</v>
      </c>
      <c r="AF106" s="116">
        <v>44393</v>
      </c>
      <c r="AG106" s="116" t="s">
        <v>73</v>
      </c>
      <c r="AH106" s="116" t="s">
        <v>73</v>
      </c>
      <c r="AI106" s="116">
        <v>44433</v>
      </c>
      <c r="AJ106" s="116">
        <v>45182</v>
      </c>
      <c r="AK106" s="146">
        <v>30240</v>
      </c>
      <c r="AL106" s="94" t="s">
        <v>321</v>
      </c>
      <c r="AM106" s="147">
        <v>16000</v>
      </c>
      <c r="AN106" s="49"/>
      <c r="AO106" s="50"/>
      <c r="AP106" s="49"/>
      <c r="AQ106" s="50"/>
      <c r="AR106" s="49"/>
      <c r="AS106" s="50"/>
      <c r="AT106" s="49"/>
      <c r="AU106" s="50"/>
      <c r="AV106" s="49"/>
      <c r="AW106" s="50"/>
      <c r="AX106" s="49"/>
      <c r="AY106" s="50"/>
      <c r="AZ106" s="49"/>
      <c r="BA106" s="50"/>
      <c r="BB106" s="49"/>
      <c r="BC106" s="50"/>
      <c r="BD106" s="49"/>
      <c r="BE106" s="50"/>
      <c r="BF106" s="49"/>
      <c r="BG106" s="50"/>
      <c r="BH106" s="49"/>
      <c r="BI106" s="50"/>
      <c r="BJ106" s="49"/>
      <c r="BK106" s="51"/>
    </row>
    <row r="107" spans="1:63" ht="19.5" customHeight="1" x14ac:dyDescent="0.25">
      <c r="A107" s="8"/>
      <c r="B107" s="38" t="s">
        <v>322</v>
      </c>
      <c r="C107" s="225" t="s">
        <v>367</v>
      </c>
      <c r="D107" s="135">
        <f>60000*1.12</f>
        <v>67200</v>
      </c>
      <c r="E107" s="38" t="s">
        <v>271</v>
      </c>
      <c r="F107" s="38" t="s">
        <v>62</v>
      </c>
      <c r="G107" s="39">
        <f t="shared" si="95"/>
        <v>0.89285714299999996</v>
      </c>
      <c r="H107" s="39">
        <f t="shared" si="96"/>
        <v>0</v>
      </c>
      <c r="I107" s="39">
        <f t="shared" si="97"/>
        <v>0</v>
      </c>
      <c r="J107" s="39">
        <f t="shared" si="98"/>
        <v>0.10714285699999999</v>
      </c>
      <c r="K107" s="38" t="s">
        <v>63</v>
      </c>
      <c r="L107" s="52">
        <v>44305</v>
      </c>
      <c r="M107" s="52">
        <v>44515</v>
      </c>
      <c r="N107" s="38" t="s">
        <v>70</v>
      </c>
      <c r="O107" s="10"/>
      <c r="P107" s="7">
        <v>1</v>
      </c>
      <c r="Q107" s="41">
        <f t="shared" ref="Q107:T107" si="124">ROUND(G107*$D107,2)</f>
        <v>60000</v>
      </c>
      <c r="R107" s="41">
        <f t="shared" si="124"/>
        <v>0</v>
      </c>
      <c r="S107" s="41">
        <f t="shared" si="124"/>
        <v>0</v>
      </c>
      <c r="T107" s="41">
        <f t="shared" si="124"/>
        <v>7200</v>
      </c>
      <c r="U107" s="41">
        <f t="shared" si="100"/>
        <v>67200</v>
      </c>
      <c r="V107" s="7"/>
      <c r="W107" s="7"/>
      <c r="X107" s="42" t="s">
        <v>116</v>
      </c>
      <c r="Y107" s="38" t="s">
        <v>323</v>
      </c>
      <c r="Z107" s="45" t="s">
        <v>73</v>
      </c>
      <c r="AA107" s="45" t="s">
        <v>73</v>
      </c>
      <c r="AB107" s="45">
        <v>44330</v>
      </c>
      <c r="AC107" s="45">
        <v>44333</v>
      </c>
      <c r="AD107" s="45" t="s">
        <v>73</v>
      </c>
      <c r="AE107" s="45">
        <v>44354</v>
      </c>
      <c r="AF107" s="45">
        <v>44406</v>
      </c>
      <c r="AG107" s="45" t="s">
        <v>73</v>
      </c>
      <c r="AH107" s="45" t="s">
        <v>73</v>
      </c>
      <c r="AI107" s="45">
        <v>44421</v>
      </c>
      <c r="AJ107" s="45">
        <v>44513</v>
      </c>
      <c r="AK107" s="148">
        <v>67200</v>
      </c>
      <c r="AL107" s="94" t="s">
        <v>324</v>
      </c>
      <c r="AM107" s="136">
        <v>20160</v>
      </c>
      <c r="AN107" s="137">
        <v>44468</v>
      </c>
      <c r="AO107" s="149">
        <v>20160</v>
      </c>
      <c r="AP107" s="49"/>
      <c r="AQ107" s="50"/>
      <c r="AR107" s="49"/>
      <c r="AS107" s="50"/>
      <c r="AT107" s="49"/>
      <c r="AU107" s="50"/>
      <c r="AV107" s="49"/>
      <c r="AW107" s="50"/>
      <c r="AX107" s="49"/>
      <c r="AY107" s="50"/>
      <c r="AZ107" s="49"/>
      <c r="BA107" s="50"/>
      <c r="BB107" s="49"/>
      <c r="BC107" s="50"/>
      <c r="BD107" s="49"/>
      <c r="BE107" s="50"/>
      <c r="BF107" s="49"/>
      <c r="BG107" s="50"/>
      <c r="BH107" s="49"/>
      <c r="BI107" s="50"/>
      <c r="BJ107" s="49"/>
      <c r="BK107" s="51"/>
    </row>
    <row r="108" spans="1:63" ht="19.5" customHeight="1" x14ac:dyDescent="0.25">
      <c r="A108" s="8"/>
      <c r="B108" s="38" t="s">
        <v>325</v>
      </c>
      <c r="C108" s="225" t="s">
        <v>356</v>
      </c>
      <c r="D108" s="135">
        <f>25000*1.12</f>
        <v>28000.000000000004</v>
      </c>
      <c r="E108" s="38" t="s">
        <v>271</v>
      </c>
      <c r="F108" s="38" t="s">
        <v>62</v>
      </c>
      <c r="G108" s="39">
        <f t="shared" si="95"/>
        <v>0.89285714299999996</v>
      </c>
      <c r="H108" s="39">
        <f t="shared" si="96"/>
        <v>0</v>
      </c>
      <c r="I108" s="39">
        <f t="shared" si="97"/>
        <v>0</v>
      </c>
      <c r="J108" s="39">
        <f t="shared" si="98"/>
        <v>0.10714285699999999</v>
      </c>
      <c r="K108" s="38" t="s">
        <v>63</v>
      </c>
      <c r="L108" s="52">
        <v>44440</v>
      </c>
      <c r="M108" s="52">
        <v>44503</v>
      </c>
      <c r="N108" s="38" t="s">
        <v>70</v>
      </c>
      <c r="O108" s="10"/>
      <c r="P108" s="7">
        <v>1</v>
      </c>
      <c r="Q108" s="41">
        <f t="shared" ref="Q108:T108" si="125">ROUND(G108*$D108,2)</f>
        <v>25000</v>
      </c>
      <c r="R108" s="41">
        <f t="shared" si="125"/>
        <v>0</v>
      </c>
      <c r="S108" s="41">
        <f t="shared" si="125"/>
        <v>0</v>
      </c>
      <c r="T108" s="41">
        <f t="shared" si="125"/>
        <v>3000</v>
      </c>
      <c r="U108" s="41">
        <f t="shared" si="100"/>
        <v>28000</v>
      </c>
      <c r="V108" s="7"/>
      <c r="W108" s="7"/>
      <c r="X108" s="42" t="s">
        <v>116</v>
      </c>
      <c r="Y108" s="38" t="s">
        <v>326</v>
      </c>
      <c r="Z108" s="116" t="s">
        <v>73</v>
      </c>
      <c r="AA108" s="116" t="s">
        <v>73</v>
      </c>
      <c r="AB108" s="116">
        <v>44382</v>
      </c>
      <c r="AC108" s="116">
        <v>44382</v>
      </c>
      <c r="AD108" s="116" t="s">
        <v>73</v>
      </c>
      <c r="AE108" s="116">
        <v>44421</v>
      </c>
      <c r="AF108" s="116">
        <v>44425</v>
      </c>
      <c r="AG108" s="116" t="s">
        <v>73</v>
      </c>
      <c r="AH108" s="116" t="s">
        <v>73</v>
      </c>
      <c r="AI108" s="116">
        <v>44432</v>
      </c>
      <c r="AJ108" s="116">
        <v>44491</v>
      </c>
      <c r="AK108" s="146">
        <v>28000</v>
      </c>
      <c r="AL108" s="94" t="s">
        <v>327</v>
      </c>
      <c r="AM108" s="150">
        <v>14000</v>
      </c>
      <c r="AN108" s="109">
        <v>44487</v>
      </c>
      <c r="AO108" s="150">
        <v>14000</v>
      </c>
      <c r="AP108" s="49"/>
      <c r="AQ108" s="50"/>
      <c r="AR108" s="49"/>
      <c r="AS108" s="50"/>
      <c r="AT108" s="49"/>
      <c r="AU108" s="50"/>
      <c r="AV108" s="49"/>
      <c r="AW108" s="50"/>
      <c r="AX108" s="49"/>
      <c r="AY108" s="50"/>
      <c r="AZ108" s="49"/>
      <c r="BA108" s="50"/>
      <c r="BB108" s="49"/>
      <c r="BC108" s="50"/>
      <c r="BD108" s="49"/>
      <c r="BE108" s="50"/>
      <c r="BF108" s="49"/>
      <c r="BG108" s="50"/>
      <c r="BH108" s="49"/>
      <c r="BI108" s="50"/>
      <c r="BJ108" s="49"/>
      <c r="BK108" s="51"/>
    </row>
    <row r="109" spans="1:63" ht="19.5" customHeight="1" x14ac:dyDescent="0.2">
      <c r="A109" s="8"/>
      <c r="B109" s="38" t="s">
        <v>328</v>
      </c>
      <c r="C109" s="42" t="s">
        <v>329</v>
      </c>
      <c r="D109" s="135">
        <f>2500*24*1.12</f>
        <v>67200</v>
      </c>
      <c r="E109" s="38" t="s">
        <v>271</v>
      </c>
      <c r="F109" s="38" t="s">
        <v>62</v>
      </c>
      <c r="G109" s="39">
        <f t="shared" si="95"/>
        <v>0.89285714299999996</v>
      </c>
      <c r="H109" s="39">
        <f t="shared" si="96"/>
        <v>0</v>
      </c>
      <c r="I109" s="39">
        <f t="shared" si="97"/>
        <v>0</v>
      </c>
      <c r="J109" s="39">
        <f t="shared" si="98"/>
        <v>0.10714285699999999</v>
      </c>
      <c r="K109" s="38" t="s">
        <v>63</v>
      </c>
      <c r="L109" s="52">
        <v>44593</v>
      </c>
      <c r="M109" s="52">
        <v>45322</v>
      </c>
      <c r="N109" s="38" t="s">
        <v>64</v>
      </c>
      <c r="O109" s="10"/>
      <c r="P109" s="7">
        <v>1</v>
      </c>
      <c r="Q109" s="41">
        <f t="shared" ref="Q109:T109" si="126">ROUND(G109*$D109,2)</f>
        <v>60000</v>
      </c>
      <c r="R109" s="41">
        <f t="shared" si="126"/>
        <v>0</v>
      </c>
      <c r="S109" s="41">
        <f t="shared" si="126"/>
        <v>0</v>
      </c>
      <c r="T109" s="41">
        <f t="shared" si="126"/>
        <v>7200</v>
      </c>
      <c r="U109" s="41">
        <f t="shared" si="100"/>
        <v>67200</v>
      </c>
      <c r="V109" s="7"/>
      <c r="W109" s="7"/>
      <c r="X109" s="42" t="s">
        <v>71</v>
      </c>
      <c r="Y109" s="38" t="s">
        <v>330</v>
      </c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7"/>
      <c r="AL109" s="94"/>
      <c r="AM109" s="48"/>
      <c r="AN109" s="49"/>
      <c r="AO109" s="50"/>
      <c r="AP109" s="49"/>
      <c r="AQ109" s="50"/>
      <c r="AR109" s="49"/>
      <c r="AS109" s="50"/>
      <c r="AT109" s="49"/>
      <c r="AU109" s="50"/>
      <c r="AV109" s="49"/>
      <c r="AW109" s="50"/>
      <c r="AX109" s="49"/>
      <c r="AY109" s="50"/>
      <c r="AZ109" s="49"/>
      <c r="BA109" s="50"/>
      <c r="BB109" s="49"/>
      <c r="BC109" s="50"/>
      <c r="BD109" s="49"/>
      <c r="BE109" s="50"/>
      <c r="BF109" s="49"/>
      <c r="BG109" s="50"/>
      <c r="BH109" s="49"/>
      <c r="BI109" s="50"/>
      <c r="BJ109" s="49"/>
      <c r="BK109" s="51"/>
    </row>
    <row r="110" spans="1:63" ht="19.5" customHeight="1" x14ac:dyDescent="0.2">
      <c r="A110" s="8"/>
      <c r="B110" s="151" t="s">
        <v>331</v>
      </c>
      <c r="C110" s="152" t="s">
        <v>300</v>
      </c>
      <c r="D110" s="153">
        <f t="shared" ref="D110:D112" si="127">(81600)*1.12</f>
        <v>91392.000000000015</v>
      </c>
      <c r="E110" s="151" t="s">
        <v>271</v>
      </c>
      <c r="F110" s="151" t="s">
        <v>62</v>
      </c>
      <c r="G110" s="154">
        <v>0.89300000000000002</v>
      </c>
      <c r="H110" s="154">
        <v>0</v>
      </c>
      <c r="I110" s="154">
        <v>0</v>
      </c>
      <c r="J110" s="154">
        <v>0.107</v>
      </c>
      <c r="K110" s="151" t="s">
        <v>63</v>
      </c>
      <c r="L110" s="155">
        <v>44614</v>
      </c>
      <c r="M110" s="156">
        <v>45322</v>
      </c>
      <c r="N110" s="157" t="s">
        <v>64</v>
      </c>
      <c r="O110" s="158"/>
      <c r="P110" s="159"/>
      <c r="Q110" s="160">
        <f t="shared" ref="Q110:Q114" si="128">ROUND(G110*$D110,2)</f>
        <v>81613.06</v>
      </c>
      <c r="R110" s="161">
        <v>0</v>
      </c>
      <c r="S110" s="161">
        <v>0</v>
      </c>
      <c r="T110" s="160">
        <f t="shared" ref="T110:T114" si="129">ROUND(J110*$D110,2)</f>
        <v>9778.94</v>
      </c>
      <c r="U110" s="160">
        <f t="shared" si="100"/>
        <v>91392</v>
      </c>
      <c r="V110" s="159"/>
      <c r="W110" s="159"/>
      <c r="X110" s="152" t="s">
        <v>71</v>
      </c>
      <c r="Y110" s="151" t="s">
        <v>332</v>
      </c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63"/>
      <c r="AJ110" s="163"/>
      <c r="AK110" s="164"/>
      <c r="AL110" s="165"/>
      <c r="AM110" s="166"/>
      <c r="AN110" s="167"/>
      <c r="AO110" s="168"/>
      <c r="AP110" s="167"/>
      <c r="AQ110" s="168"/>
      <c r="AR110" s="167"/>
      <c r="AS110" s="168"/>
      <c r="AT110" s="167"/>
      <c r="AU110" s="168"/>
      <c r="AV110" s="167"/>
      <c r="AW110" s="168"/>
      <c r="AX110" s="167"/>
      <c r="AY110" s="168"/>
      <c r="AZ110" s="167"/>
      <c r="BA110" s="168"/>
      <c r="BB110" s="167"/>
      <c r="BC110" s="168"/>
      <c r="BD110" s="167"/>
      <c r="BE110" s="168"/>
      <c r="BF110" s="167"/>
      <c r="BG110" s="168"/>
      <c r="BH110" s="167"/>
      <c r="BI110" s="168"/>
      <c r="BJ110" s="167"/>
      <c r="BK110" s="169"/>
    </row>
    <row r="111" spans="1:63" ht="19.5" customHeight="1" x14ac:dyDescent="0.2">
      <c r="A111" s="8"/>
      <c r="B111" s="151" t="s">
        <v>333</v>
      </c>
      <c r="C111" s="152" t="s">
        <v>334</v>
      </c>
      <c r="D111" s="153">
        <f t="shared" si="127"/>
        <v>91392.000000000015</v>
      </c>
      <c r="E111" s="151" t="s">
        <v>271</v>
      </c>
      <c r="F111" s="151" t="s">
        <v>62</v>
      </c>
      <c r="G111" s="154">
        <v>0.89300000000000002</v>
      </c>
      <c r="H111" s="154">
        <v>0</v>
      </c>
      <c r="I111" s="154">
        <v>0</v>
      </c>
      <c r="J111" s="154">
        <v>0.107</v>
      </c>
      <c r="K111" s="151" t="s">
        <v>63</v>
      </c>
      <c r="L111" s="155">
        <v>44614</v>
      </c>
      <c r="M111" s="156">
        <v>45322</v>
      </c>
      <c r="N111" s="157" t="s">
        <v>64</v>
      </c>
      <c r="O111" s="158"/>
      <c r="P111" s="159"/>
      <c r="Q111" s="160">
        <f t="shared" si="128"/>
        <v>81613.06</v>
      </c>
      <c r="R111" s="161">
        <v>0</v>
      </c>
      <c r="S111" s="161">
        <v>0</v>
      </c>
      <c r="T111" s="160">
        <f t="shared" si="129"/>
        <v>9778.94</v>
      </c>
      <c r="U111" s="160">
        <f t="shared" si="100"/>
        <v>91392</v>
      </c>
      <c r="V111" s="159"/>
      <c r="W111" s="159"/>
      <c r="X111" s="152" t="s">
        <v>71</v>
      </c>
      <c r="Y111" s="151" t="s">
        <v>335</v>
      </c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4"/>
      <c r="AL111" s="165"/>
      <c r="AM111" s="166"/>
      <c r="AN111" s="167"/>
      <c r="AO111" s="168"/>
      <c r="AP111" s="167"/>
      <c r="AQ111" s="168"/>
      <c r="AR111" s="167"/>
      <c r="AS111" s="168"/>
      <c r="AT111" s="167"/>
      <c r="AU111" s="168"/>
      <c r="AV111" s="167"/>
      <c r="AW111" s="168"/>
      <c r="AX111" s="167"/>
      <c r="AY111" s="168"/>
      <c r="AZ111" s="167"/>
      <c r="BA111" s="168"/>
      <c r="BB111" s="167"/>
      <c r="BC111" s="168"/>
      <c r="BD111" s="167"/>
      <c r="BE111" s="168"/>
      <c r="BF111" s="167"/>
      <c r="BG111" s="168"/>
      <c r="BH111" s="167"/>
      <c r="BI111" s="168"/>
      <c r="BJ111" s="167"/>
      <c r="BK111" s="169"/>
    </row>
    <row r="112" spans="1:63" ht="19.5" customHeight="1" x14ac:dyDescent="0.2">
      <c r="A112" s="8"/>
      <c r="B112" s="151" t="s">
        <v>336</v>
      </c>
      <c r="C112" s="226" t="s">
        <v>355</v>
      </c>
      <c r="D112" s="153">
        <f t="shared" si="127"/>
        <v>91392.000000000015</v>
      </c>
      <c r="E112" s="151" t="s">
        <v>271</v>
      </c>
      <c r="F112" s="151" t="s">
        <v>62</v>
      </c>
      <c r="G112" s="154">
        <v>0.89300000000000002</v>
      </c>
      <c r="H112" s="154">
        <v>0</v>
      </c>
      <c r="I112" s="154">
        <v>0</v>
      </c>
      <c r="J112" s="154">
        <v>0.107</v>
      </c>
      <c r="K112" s="151" t="s">
        <v>63</v>
      </c>
      <c r="L112" s="155">
        <v>44614</v>
      </c>
      <c r="M112" s="156">
        <v>45322</v>
      </c>
      <c r="N112" s="157" t="s">
        <v>64</v>
      </c>
      <c r="O112" s="158"/>
      <c r="P112" s="159"/>
      <c r="Q112" s="160">
        <f t="shared" si="128"/>
        <v>81613.06</v>
      </c>
      <c r="R112" s="161">
        <v>0</v>
      </c>
      <c r="S112" s="161">
        <v>0</v>
      </c>
      <c r="T112" s="160">
        <f t="shared" si="129"/>
        <v>9778.94</v>
      </c>
      <c r="U112" s="160">
        <f t="shared" si="100"/>
        <v>91392</v>
      </c>
      <c r="V112" s="159"/>
      <c r="W112" s="159"/>
      <c r="X112" s="152" t="s">
        <v>71</v>
      </c>
      <c r="Y112" s="151" t="s">
        <v>337</v>
      </c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4"/>
      <c r="AL112" s="165"/>
      <c r="AM112" s="166"/>
      <c r="AN112" s="167"/>
      <c r="AO112" s="168"/>
      <c r="AP112" s="167"/>
      <c r="AQ112" s="168"/>
      <c r="AR112" s="167"/>
      <c r="AS112" s="168"/>
      <c r="AT112" s="167"/>
      <c r="AU112" s="168"/>
      <c r="AV112" s="167"/>
      <c r="AW112" s="168"/>
      <c r="AX112" s="167"/>
      <c r="AY112" s="168"/>
      <c r="AZ112" s="167"/>
      <c r="BA112" s="168"/>
      <c r="BB112" s="167"/>
      <c r="BC112" s="168"/>
      <c r="BD112" s="167"/>
      <c r="BE112" s="168"/>
      <c r="BF112" s="167"/>
      <c r="BG112" s="168"/>
      <c r="BH112" s="167"/>
      <c r="BI112" s="168"/>
      <c r="BJ112" s="167"/>
      <c r="BK112" s="169"/>
    </row>
    <row r="113" spans="1:63" ht="19.5" customHeight="1" x14ac:dyDescent="0.2">
      <c r="A113" s="8"/>
      <c r="B113" s="151" t="s">
        <v>338</v>
      </c>
      <c r="C113" s="152" t="s">
        <v>275</v>
      </c>
      <c r="D113" s="153">
        <f>(91200)*1.12</f>
        <v>102144.00000000001</v>
      </c>
      <c r="E113" s="151" t="s">
        <v>271</v>
      </c>
      <c r="F113" s="151" t="s">
        <v>62</v>
      </c>
      <c r="G113" s="154">
        <v>0.89300000000000002</v>
      </c>
      <c r="H113" s="154">
        <v>0</v>
      </c>
      <c r="I113" s="154">
        <v>0</v>
      </c>
      <c r="J113" s="154">
        <v>0.107</v>
      </c>
      <c r="K113" s="151" t="s">
        <v>63</v>
      </c>
      <c r="L113" s="155">
        <v>44614</v>
      </c>
      <c r="M113" s="156">
        <v>45322</v>
      </c>
      <c r="N113" s="157" t="s">
        <v>64</v>
      </c>
      <c r="O113" s="158"/>
      <c r="P113" s="159"/>
      <c r="Q113" s="160">
        <f t="shared" si="128"/>
        <v>91214.59</v>
      </c>
      <c r="R113" s="161">
        <v>0</v>
      </c>
      <c r="S113" s="161">
        <v>0</v>
      </c>
      <c r="T113" s="160">
        <f t="shared" si="129"/>
        <v>10929.41</v>
      </c>
      <c r="U113" s="160">
        <f t="shared" si="100"/>
        <v>102144</v>
      </c>
      <c r="V113" s="159"/>
      <c r="W113" s="159"/>
      <c r="X113" s="152" t="s">
        <v>71</v>
      </c>
      <c r="Y113" s="151" t="s">
        <v>339</v>
      </c>
      <c r="Z113" s="162"/>
      <c r="AA113" s="162"/>
      <c r="AB113" s="162"/>
      <c r="AC113" s="162"/>
      <c r="AD113" s="162"/>
      <c r="AE113" s="162"/>
      <c r="AF113" s="162"/>
      <c r="AG113" s="162"/>
      <c r="AH113" s="162"/>
      <c r="AI113" s="162"/>
      <c r="AJ113" s="162"/>
      <c r="AK113" s="164"/>
      <c r="AL113" s="165"/>
      <c r="AM113" s="170"/>
      <c r="AN113" s="171"/>
      <c r="AO113" s="172"/>
      <c r="AP113" s="171"/>
      <c r="AQ113" s="172"/>
      <c r="AR113" s="171"/>
      <c r="AS113" s="172"/>
      <c r="AT113" s="171"/>
      <c r="AU113" s="172"/>
      <c r="AV113" s="171"/>
      <c r="AW113" s="172"/>
      <c r="AX113" s="171"/>
      <c r="AY113" s="172"/>
      <c r="AZ113" s="171"/>
      <c r="BA113" s="172"/>
      <c r="BB113" s="171"/>
      <c r="BC113" s="172"/>
      <c r="BD113" s="171"/>
      <c r="BE113" s="172"/>
      <c r="BF113" s="171"/>
      <c r="BG113" s="172"/>
      <c r="BH113" s="171"/>
      <c r="BI113" s="172"/>
      <c r="BJ113" s="171"/>
      <c r="BK113" s="169"/>
    </row>
    <row r="114" spans="1:63" ht="19.5" customHeight="1" x14ac:dyDescent="0.2">
      <c r="A114" s="8"/>
      <c r="B114" s="151" t="s">
        <v>340</v>
      </c>
      <c r="C114" s="152" t="s">
        <v>341</v>
      </c>
      <c r="D114" s="153">
        <f>(2200*12)*1.12</f>
        <v>29568.000000000004</v>
      </c>
      <c r="E114" s="151" t="s">
        <v>271</v>
      </c>
      <c r="F114" s="151" t="s">
        <v>62</v>
      </c>
      <c r="G114" s="154">
        <v>0.89300000000000002</v>
      </c>
      <c r="H114" s="154">
        <v>0</v>
      </c>
      <c r="I114" s="154">
        <v>0</v>
      </c>
      <c r="J114" s="154">
        <v>0.107</v>
      </c>
      <c r="K114" s="151" t="s">
        <v>63</v>
      </c>
      <c r="L114" s="155">
        <v>44614</v>
      </c>
      <c r="M114" s="156">
        <v>45322</v>
      </c>
      <c r="N114" s="157" t="s">
        <v>64</v>
      </c>
      <c r="O114" s="158"/>
      <c r="P114" s="159"/>
      <c r="Q114" s="160">
        <f t="shared" si="128"/>
        <v>26404.22</v>
      </c>
      <c r="R114" s="161">
        <v>0</v>
      </c>
      <c r="S114" s="161">
        <v>0</v>
      </c>
      <c r="T114" s="160">
        <f t="shared" si="129"/>
        <v>3163.78</v>
      </c>
      <c r="U114" s="160">
        <f t="shared" si="100"/>
        <v>29568</v>
      </c>
      <c r="V114" s="159"/>
      <c r="W114" s="159"/>
      <c r="X114" s="173" t="s">
        <v>71</v>
      </c>
      <c r="Y114" s="174" t="s">
        <v>342</v>
      </c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6"/>
      <c r="AL114" s="175"/>
      <c r="AM114" s="177"/>
      <c r="AN114" s="178"/>
      <c r="AO114" s="178"/>
      <c r="AP114" s="178"/>
      <c r="AQ114" s="178"/>
      <c r="AR114" s="178"/>
      <c r="AS114" s="178"/>
      <c r="AT114" s="178"/>
      <c r="AU114" s="178"/>
      <c r="AV114" s="178"/>
      <c r="AW114" s="178"/>
      <c r="AX114" s="178"/>
      <c r="AY114" s="178"/>
      <c r="AZ114" s="178"/>
      <c r="BA114" s="178"/>
      <c r="BB114" s="178"/>
      <c r="BC114" s="178"/>
      <c r="BD114" s="178"/>
      <c r="BE114" s="178"/>
      <c r="BF114" s="178"/>
      <c r="BG114" s="178"/>
      <c r="BH114" s="178"/>
      <c r="BI114" s="178"/>
      <c r="BJ114" s="178"/>
      <c r="BK114" s="175"/>
    </row>
    <row r="115" spans="1:63" ht="19.5" customHeight="1" x14ac:dyDescent="0.2">
      <c r="A115" s="8"/>
      <c r="B115" s="151"/>
      <c r="C115" s="152" t="s">
        <v>343</v>
      </c>
      <c r="D115" s="153">
        <f>(91392+102144)-29568</f>
        <v>163968</v>
      </c>
      <c r="E115" s="174"/>
      <c r="F115" s="174"/>
      <c r="G115" s="179"/>
      <c r="H115" s="179"/>
      <c r="I115" s="179"/>
      <c r="J115" s="179"/>
      <c r="K115" s="174"/>
      <c r="L115" s="180"/>
      <c r="M115" s="181"/>
      <c r="N115" s="182"/>
      <c r="O115" s="158"/>
      <c r="P115" s="159"/>
      <c r="Q115" s="160"/>
      <c r="R115" s="160"/>
      <c r="S115" s="160"/>
      <c r="T115" s="160"/>
      <c r="U115" s="160"/>
      <c r="V115" s="159"/>
      <c r="W115" s="159"/>
      <c r="X115" s="183"/>
      <c r="Y115" s="174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76"/>
      <c r="AL115" s="175"/>
      <c r="AM115" s="177"/>
      <c r="AN115" s="178"/>
      <c r="AO115" s="178"/>
      <c r="AP115" s="178"/>
      <c r="AQ115" s="178"/>
      <c r="AR115" s="178"/>
      <c r="AS115" s="178"/>
      <c r="AT115" s="178"/>
      <c r="AU115" s="178"/>
      <c r="AV115" s="178"/>
      <c r="AW115" s="178"/>
      <c r="AX115" s="178"/>
      <c r="AY115" s="178"/>
      <c r="AZ115" s="178"/>
      <c r="BA115" s="178"/>
      <c r="BB115" s="178"/>
      <c r="BC115" s="178"/>
      <c r="BD115" s="178"/>
      <c r="BE115" s="178"/>
      <c r="BF115" s="178"/>
      <c r="BG115" s="178"/>
      <c r="BH115" s="178"/>
      <c r="BI115" s="178"/>
      <c r="BJ115" s="178"/>
      <c r="BK115" s="175"/>
    </row>
    <row r="116" spans="1:63" ht="19.5" customHeight="1" x14ac:dyDescent="0.2">
      <c r="A116" s="8"/>
      <c r="B116" s="243" t="s">
        <v>344</v>
      </c>
      <c r="C116" s="238"/>
      <c r="D116" s="184">
        <f>SUM(D87:D113)</f>
        <v>3075520.0000000005</v>
      </c>
      <c r="E116" s="185"/>
      <c r="F116" s="185"/>
      <c r="G116" s="186"/>
      <c r="H116" s="186"/>
      <c r="I116" s="186"/>
      <c r="J116" s="186"/>
      <c r="K116" s="185"/>
      <c r="L116" s="187"/>
      <c r="M116" s="187"/>
      <c r="N116" s="185"/>
      <c r="O116" s="10"/>
      <c r="P116" s="7"/>
      <c r="Q116" s="63">
        <f t="shared" ref="Q116:T116" si="130">SUM(Q87:Q113)</f>
        <v>2746053.77</v>
      </c>
      <c r="R116" s="63">
        <f t="shared" si="130"/>
        <v>0</v>
      </c>
      <c r="S116" s="63">
        <f t="shared" si="130"/>
        <v>0</v>
      </c>
      <c r="T116" s="63">
        <f t="shared" si="130"/>
        <v>329466.23</v>
      </c>
      <c r="U116" s="63">
        <f>SUM(Q116:T116)</f>
        <v>3075520</v>
      </c>
      <c r="V116" s="14">
        <f>D116-U116</f>
        <v>0</v>
      </c>
      <c r="W116" s="7"/>
      <c r="X116" s="185"/>
      <c r="Y116" s="185"/>
      <c r="Z116" s="188"/>
      <c r="AA116" s="188"/>
      <c r="AB116" s="188"/>
      <c r="AC116" s="188"/>
      <c r="AD116" s="188"/>
      <c r="AE116" s="188"/>
      <c r="AF116" s="188"/>
      <c r="AG116" s="188"/>
      <c r="AH116" s="188"/>
      <c r="AI116" s="188"/>
      <c r="AJ116" s="188"/>
      <c r="AK116" s="189"/>
      <c r="AL116" s="188"/>
      <c r="AM116" s="190"/>
      <c r="AN116" s="191"/>
      <c r="AO116" s="191"/>
      <c r="AP116" s="191"/>
      <c r="AQ116" s="191"/>
      <c r="AR116" s="191"/>
      <c r="AS116" s="191"/>
      <c r="AT116" s="191"/>
      <c r="AU116" s="191"/>
      <c r="AV116" s="191"/>
      <c r="AW116" s="191"/>
      <c r="AX116" s="191"/>
      <c r="AY116" s="191"/>
      <c r="AZ116" s="191"/>
      <c r="BA116" s="191"/>
      <c r="BB116" s="191"/>
      <c r="BC116" s="191"/>
      <c r="BD116" s="191"/>
      <c r="BE116" s="191"/>
      <c r="BF116" s="191"/>
      <c r="BG116" s="191"/>
      <c r="BH116" s="191"/>
      <c r="BI116" s="191"/>
      <c r="BJ116" s="191"/>
      <c r="BK116" s="188"/>
    </row>
    <row r="117" spans="1:63" ht="19.5" customHeight="1" x14ac:dyDescent="0.2">
      <c r="A117" s="8"/>
      <c r="B117" s="79"/>
      <c r="C117" s="80"/>
      <c r="D117" s="81"/>
      <c r="E117" s="79"/>
      <c r="F117" s="79"/>
      <c r="G117" s="82"/>
      <c r="H117" s="82"/>
      <c r="I117" s="82"/>
      <c r="J117" s="82"/>
      <c r="K117" s="79"/>
      <c r="L117" s="83"/>
      <c r="M117" s="83"/>
      <c r="N117" s="79"/>
      <c r="O117" s="10"/>
      <c r="P117" s="7"/>
      <c r="Q117" s="7"/>
      <c r="R117" s="7"/>
      <c r="S117" s="7"/>
      <c r="T117" s="7"/>
      <c r="U117" s="7"/>
      <c r="V117" s="7"/>
      <c r="W117" s="7"/>
      <c r="X117" s="79"/>
      <c r="Y117" s="79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6"/>
      <c r="AL117" s="75"/>
      <c r="AM117" s="76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5"/>
    </row>
    <row r="118" spans="1:63" ht="19.5" customHeight="1" x14ac:dyDescent="0.2">
      <c r="A118" s="8"/>
      <c r="B118" s="237" t="s">
        <v>345</v>
      </c>
      <c r="C118" s="238"/>
      <c r="D118" s="100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10"/>
      <c r="P118" s="7"/>
      <c r="Q118" s="7"/>
      <c r="R118" s="7"/>
      <c r="S118" s="7"/>
      <c r="T118" s="7"/>
      <c r="U118" s="7"/>
      <c r="V118" s="7"/>
      <c r="W118" s="7"/>
      <c r="X118" s="86"/>
      <c r="Y118" s="8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8"/>
      <c r="AL118" s="89"/>
      <c r="AM118" s="90"/>
      <c r="AN118" s="33"/>
      <c r="AO118" s="32"/>
      <c r="AP118" s="33"/>
      <c r="AQ118" s="32"/>
      <c r="AR118" s="33"/>
      <c r="AS118" s="32"/>
      <c r="AT118" s="33"/>
      <c r="AU118" s="32"/>
      <c r="AV118" s="33"/>
      <c r="AW118" s="32"/>
      <c r="AX118" s="33"/>
      <c r="AY118" s="32"/>
      <c r="AZ118" s="33"/>
      <c r="BA118" s="32"/>
      <c r="BB118" s="33"/>
      <c r="BC118" s="32"/>
      <c r="BD118" s="33"/>
      <c r="BE118" s="32"/>
      <c r="BF118" s="33"/>
      <c r="BG118" s="32"/>
      <c r="BH118" s="33"/>
      <c r="BI118" s="32"/>
      <c r="BJ118" s="33"/>
      <c r="BK118" s="91"/>
    </row>
    <row r="119" spans="1:63" ht="19.5" customHeight="1" x14ac:dyDescent="0.2">
      <c r="A119" s="8"/>
      <c r="B119" s="38"/>
      <c r="C119" s="42"/>
      <c r="D119" s="135"/>
      <c r="E119" s="38"/>
      <c r="F119" s="38"/>
      <c r="G119" s="192"/>
      <c r="H119" s="192"/>
      <c r="I119" s="192"/>
      <c r="J119" s="192"/>
      <c r="K119" s="38"/>
      <c r="L119" s="193"/>
      <c r="M119" s="193"/>
      <c r="N119" s="38"/>
      <c r="O119" s="10"/>
      <c r="P119" s="7"/>
      <c r="Q119" s="7"/>
      <c r="R119" s="7"/>
      <c r="S119" s="7"/>
      <c r="T119" s="7"/>
      <c r="U119" s="7"/>
      <c r="V119" s="7"/>
      <c r="W119" s="7"/>
      <c r="X119" s="38"/>
      <c r="Y119" s="38"/>
      <c r="Z119" s="194"/>
      <c r="AA119" s="194"/>
      <c r="AB119" s="194"/>
      <c r="AC119" s="194"/>
      <c r="AD119" s="194"/>
      <c r="AE119" s="194"/>
      <c r="AF119" s="194"/>
      <c r="AG119" s="194"/>
      <c r="AH119" s="194"/>
      <c r="AI119" s="194"/>
      <c r="AJ119" s="194"/>
      <c r="AK119" s="195"/>
      <c r="AL119" s="196"/>
      <c r="AM119" s="197"/>
      <c r="AN119" s="198"/>
      <c r="AO119" s="199"/>
      <c r="AP119" s="198"/>
      <c r="AQ119" s="199"/>
      <c r="AR119" s="198"/>
      <c r="AS119" s="199"/>
      <c r="AT119" s="198"/>
      <c r="AU119" s="199"/>
      <c r="AV119" s="198"/>
      <c r="AW119" s="199"/>
      <c r="AX119" s="198"/>
      <c r="AY119" s="199"/>
      <c r="AZ119" s="198"/>
      <c r="BA119" s="199"/>
      <c r="BB119" s="198"/>
      <c r="BC119" s="199"/>
      <c r="BD119" s="198"/>
      <c r="BE119" s="199"/>
      <c r="BF119" s="198"/>
      <c r="BG119" s="199"/>
      <c r="BH119" s="198"/>
      <c r="BI119" s="199"/>
      <c r="BJ119" s="198"/>
      <c r="BK119" s="200"/>
    </row>
    <row r="120" spans="1:63" ht="19.5" customHeight="1" x14ac:dyDescent="0.2">
      <c r="A120" s="8"/>
      <c r="B120" s="239" t="s">
        <v>346</v>
      </c>
      <c r="C120" s="238"/>
      <c r="D120" s="71">
        <f>SUM(D119)</f>
        <v>0</v>
      </c>
      <c r="E120" s="72"/>
      <c r="F120" s="72"/>
      <c r="G120" s="73"/>
      <c r="H120" s="73"/>
      <c r="I120" s="73"/>
      <c r="J120" s="73"/>
      <c r="K120" s="72"/>
      <c r="L120" s="74"/>
      <c r="M120" s="74"/>
      <c r="N120" s="72"/>
      <c r="O120" s="10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</row>
    <row r="121" spans="1:63" ht="19.5" customHeight="1" x14ac:dyDescent="0.2">
      <c r="A121" s="8"/>
      <c r="B121" s="79"/>
      <c r="C121" s="80"/>
      <c r="D121" s="81"/>
      <c r="E121" s="79"/>
      <c r="F121" s="79"/>
      <c r="G121" s="82"/>
      <c r="H121" s="82"/>
      <c r="I121" s="82"/>
      <c r="J121" s="82"/>
      <c r="K121" s="79"/>
      <c r="L121" s="83"/>
      <c r="M121" s="83"/>
      <c r="N121" s="79"/>
      <c r="O121" s="10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</row>
    <row r="122" spans="1:63" ht="19.5" customHeight="1" x14ac:dyDescent="0.2">
      <c r="A122" s="8"/>
      <c r="B122" s="201"/>
      <c r="C122" s="202" t="s">
        <v>347</v>
      </c>
      <c r="D122" s="203">
        <f>D23+D40+D84+D116+D120+D61</f>
        <v>116410210.67128001</v>
      </c>
      <c r="E122" s="204">
        <v>116911250.66888002</v>
      </c>
      <c r="F122" s="204">
        <f>+D122-E122</f>
        <v>-501039.99760000408</v>
      </c>
      <c r="G122" s="205"/>
      <c r="H122" s="206"/>
      <c r="I122" s="205"/>
      <c r="J122" s="205"/>
      <c r="K122" s="201"/>
      <c r="L122" s="207"/>
      <c r="M122" s="207"/>
      <c r="N122" s="201"/>
      <c r="O122" s="10"/>
      <c r="P122" s="7"/>
      <c r="Q122" s="63">
        <f>Q23+Q40+Q84+Q116+Q120+Q61</f>
        <v>27052696.620000001</v>
      </c>
      <c r="R122" s="63">
        <f>R23+R40+R84+R116+R120+R61</f>
        <v>17000000.050000001</v>
      </c>
      <c r="S122" s="63">
        <f>S23+S40+S84+S116+S120+S61</f>
        <v>59885045.210000001</v>
      </c>
      <c r="T122" s="63">
        <f>T23+T40+T84+T116+T120+T61</f>
        <v>12472468.799999997</v>
      </c>
      <c r="U122" s="63">
        <f>SUM(Q122:T122)</f>
        <v>116410210.67999999</v>
      </c>
      <c r="V122" s="14">
        <f>D122-U122</f>
        <v>-8.7199807167053223E-3</v>
      </c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</row>
    <row r="123" spans="1:63" ht="15" customHeight="1" x14ac:dyDescent="0.2">
      <c r="A123" s="8"/>
      <c r="B123" s="79"/>
      <c r="C123" s="80"/>
      <c r="D123" s="81"/>
      <c r="E123" s="208"/>
      <c r="F123" s="79"/>
      <c r="G123" s="82"/>
      <c r="H123" s="209"/>
      <c r="I123" s="82"/>
      <c r="J123" s="82"/>
      <c r="K123" s="79"/>
      <c r="L123" s="83"/>
      <c r="M123" s="83"/>
      <c r="N123" s="79"/>
      <c r="O123" s="10"/>
      <c r="P123" s="7"/>
      <c r="Q123" s="210">
        <v>27500000.000000004</v>
      </c>
      <c r="R123" s="210">
        <v>17000000</v>
      </c>
      <c r="S123" s="210">
        <v>59885045.240000002</v>
      </c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</row>
    <row r="124" spans="1:63" ht="15" customHeight="1" x14ac:dyDescent="0.2">
      <c r="A124" s="8"/>
      <c r="B124" s="240" t="s">
        <v>348</v>
      </c>
      <c r="C124" s="241"/>
      <c r="D124" s="241"/>
      <c r="E124" s="241"/>
      <c r="F124" s="241"/>
      <c r="G124" s="241"/>
      <c r="H124" s="241"/>
      <c r="I124" s="241"/>
      <c r="J124" s="241"/>
      <c r="K124" s="241"/>
      <c r="L124" s="241"/>
      <c r="M124" s="241"/>
      <c r="N124" s="241"/>
      <c r="O124" s="10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</row>
    <row r="125" spans="1:63" ht="15" customHeight="1" x14ac:dyDescent="0.2">
      <c r="A125" s="8"/>
      <c r="B125" s="240" t="s">
        <v>349</v>
      </c>
      <c r="C125" s="241"/>
      <c r="D125" s="241"/>
      <c r="E125" s="241"/>
      <c r="F125" s="241"/>
      <c r="G125" s="241"/>
      <c r="H125" s="241"/>
      <c r="I125" s="241"/>
      <c r="J125" s="241"/>
      <c r="K125" s="241"/>
      <c r="L125" s="241"/>
      <c r="M125" s="241"/>
      <c r="N125" s="241"/>
      <c r="O125" s="10"/>
      <c r="P125" s="7"/>
      <c r="Q125" s="211">
        <f>Q122+R122</f>
        <v>44052696.670000002</v>
      </c>
      <c r="R125" s="211">
        <f>Q125-44500000</f>
        <v>-447303.32999999821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</row>
    <row r="126" spans="1:63" ht="15" customHeight="1" x14ac:dyDescent="0.2">
      <c r="A126" s="212"/>
      <c r="B126" s="213" t="s">
        <v>350</v>
      </c>
      <c r="C126" s="214"/>
      <c r="D126" s="214"/>
      <c r="E126" s="215"/>
      <c r="F126" s="214"/>
      <c r="G126" s="214"/>
      <c r="H126" s="214"/>
      <c r="I126" s="214"/>
      <c r="J126" s="214"/>
      <c r="K126" s="214"/>
      <c r="L126" s="214"/>
      <c r="M126" s="214"/>
      <c r="N126" s="214"/>
      <c r="O126" s="216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</row>
    <row r="127" spans="1:63" ht="14.25" customHeight="1" x14ac:dyDescent="0.2">
      <c r="A127" s="7"/>
      <c r="B127" s="7"/>
      <c r="C127" s="7"/>
      <c r="D127" s="7"/>
      <c r="E127" s="92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</row>
    <row r="128" spans="1:63" ht="14.25" customHeight="1" x14ac:dyDescent="0.2">
      <c r="A128" s="7"/>
      <c r="B128" s="7"/>
      <c r="C128" s="7"/>
      <c r="D128" s="7"/>
      <c r="E128" s="92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</row>
    <row r="129" spans="1:63" ht="19.5" customHeight="1" x14ac:dyDescent="0.2">
      <c r="A129" s="7"/>
      <c r="B129" s="7"/>
      <c r="C129" s="42" t="s">
        <v>71</v>
      </c>
      <c r="D129" s="217">
        <f>SUMIF($X$8:$X$120,C129,$D$8:$D$120)</f>
        <v>8792146.4456799999</v>
      </c>
      <c r="E129" s="92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</row>
    <row r="130" spans="1:63" ht="19.5" customHeight="1" x14ac:dyDescent="0.2">
      <c r="A130" s="7"/>
      <c r="B130" s="7"/>
      <c r="C130" s="42" t="s">
        <v>116</v>
      </c>
      <c r="D130" s="217">
        <f>SUMIF($X$8:$X$120,C130,$D$8:$D$120)</f>
        <v>101784832.2256</v>
      </c>
      <c r="E130" s="92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</row>
    <row r="131" spans="1:63" ht="19.5" customHeight="1" x14ac:dyDescent="0.2">
      <c r="A131" s="7"/>
      <c r="B131" s="7"/>
      <c r="C131" s="42" t="s">
        <v>65</v>
      </c>
      <c r="D131" s="217">
        <f>SUMIF($X$8:$X$120,C131,$D$8:$D$120)</f>
        <v>5862800</v>
      </c>
      <c r="E131" s="218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</row>
    <row r="132" spans="1:63" ht="19.5" customHeight="1" x14ac:dyDescent="0.2">
      <c r="A132" s="7"/>
      <c r="B132" s="7"/>
      <c r="C132" s="219" t="s">
        <v>351</v>
      </c>
      <c r="D132" s="220">
        <f>SUM(D129:D131)</f>
        <v>116439778.67128</v>
      </c>
      <c r="E132" s="92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</row>
    <row r="133" spans="1:63" ht="14.25" customHeight="1" x14ac:dyDescent="0.2">
      <c r="A133" s="7"/>
      <c r="B133" s="7"/>
      <c r="C133" s="7"/>
      <c r="D133" s="221">
        <f>D122-D132</f>
        <v>-29567.999999985099</v>
      </c>
      <c r="E133" s="92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</row>
    <row r="134" spans="1:63" ht="14.25" customHeight="1" x14ac:dyDescent="0.2">
      <c r="A134" s="7"/>
      <c r="B134" s="7"/>
      <c r="C134" s="7"/>
      <c r="D134" s="14">
        <v>110923730.67128</v>
      </c>
      <c r="E134" s="92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</row>
    <row r="135" spans="1:63" ht="14.25" customHeight="1" x14ac:dyDescent="0.2">
      <c r="A135" s="7"/>
      <c r="B135" s="7"/>
      <c r="C135" s="7"/>
      <c r="D135" s="14"/>
      <c r="E135" s="92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</row>
    <row r="136" spans="1:63" ht="14.25" customHeight="1" x14ac:dyDescent="0.2">
      <c r="A136" s="7"/>
      <c r="B136" s="7"/>
      <c r="C136" s="7"/>
      <c r="D136" s="14"/>
      <c r="E136" s="92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</row>
    <row r="137" spans="1:63" ht="14.25" customHeight="1" x14ac:dyDescent="0.2">
      <c r="A137" s="7"/>
      <c r="B137" s="7"/>
      <c r="C137" s="7"/>
      <c r="D137" s="7"/>
      <c r="E137" s="92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</row>
    <row r="138" spans="1:63" ht="14.25" customHeight="1" x14ac:dyDescent="0.2">
      <c r="A138" s="7"/>
      <c r="B138" s="7"/>
      <c r="C138" s="7"/>
      <c r="D138" s="7"/>
      <c r="E138" s="92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</row>
    <row r="139" spans="1:63" ht="14.25" customHeight="1" x14ac:dyDescent="0.2">
      <c r="A139" s="7"/>
      <c r="B139" s="7"/>
      <c r="C139" s="7"/>
      <c r="D139" s="7"/>
      <c r="E139" s="92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</row>
    <row r="140" spans="1:63" ht="14.25" customHeight="1" x14ac:dyDescent="0.2">
      <c r="A140" s="7"/>
      <c r="B140" s="7"/>
      <c r="C140" s="7"/>
      <c r="D140" s="7"/>
      <c r="E140" s="92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</row>
    <row r="141" spans="1:63" ht="14.25" customHeight="1" x14ac:dyDescent="0.2">
      <c r="A141" s="7"/>
      <c r="B141" s="7"/>
      <c r="C141" s="7"/>
      <c r="D141" s="7"/>
      <c r="E141" s="92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</row>
    <row r="142" spans="1:63" ht="14.25" customHeight="1" x14ac:dyDescent="0.2">
      <c r="A142" s="7"/>
      <c r="B142" s="7"/>
      <c r="C142" s="7"/>
      <c r="D142" s="7"/>
      <c r="E142" s="92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</row>
    <row r="143" spans="1:63" ht="14.25" customHeight="1" x14ac:dyDescent="0.2">
      <c r="A143" s="7"/>
      <c r="B143" s="7"/>
      <c r="C143" s="7"/>
      <c r="D143" s="7"/>
      <c r="E143" s="92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</row>
    <row r="144" spans="1:63" ht="14.25" customHeight="1" x14ac:dyDescent="0.2">
      <c r="A144" s="7"/>
      <c r="B144" s="7"/>
      <c r="C144" s="7"/>
      <c r="D144" s="7"/>
      <c r="E144" s="92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</row>
    <row r="145" spans="1:63" ht="14.25" customHeight="1" x14ac:dyDescent="0.2">
      <c r="A145" s="7"/>
      <c r="B145" s="7"/>
      <c r="C145" s="7"/>
      <c r="D145" s="7"/>
      <c r="E145" s="92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</row>
    <row r="146" spans="1:63" ht="14.25" customHeight="1" x14ac:dyDescent="0.2">
      <c r="A146" s="7"/>
      <c r="B146" s="7"/>
      <c r="C146" s="7"/>
      <c r="D146" s="7"/>
      <c r="E146" s="92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</row>
    <row r="147" spans="1:63" ht="14.25" customHeight="1" x14ac:dyDescent="0.2">
      <c r="A147" s="7"/>
      <c r="B147" s="7"/>
      <c r="C147" s="7"/>
      <c r="D147" s="7"/>
      <c r="E147" s="92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</row>
    <row r="148" spans="1:63" ht="14.25" customHeight="1" x14ac:dyDescent="0.2">
      <c r="A148" s="7"/>
      <c r="B148" s="7"/>
      <c r="C148" s="7"/>
      <c r="D148" s="7"/>
      <c r="E148" s="92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</row>
    <row r="149" spans="1:63" ht="14.25" customHeight="1" x14ac:dyDescent="0.2">
      <c r="A149" s="7"/>
      <c r="B149" s="7"/>
      <c r="C149" s="7"/>
      <c r="D149" s="7"/>
      <c r="E149" s="92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</row>
    <row r="150" spans="1:63" ht="14.25" customHeight="1" x14ac:dyDescent="0.2">
      <c r="A150" s="7"/>
      <c r="B150" s="7"/>
      <c r="C150" s="7"/>
      <c r="D150" s="7"/>
      <c r="E150" s="92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</row>
    <row r="151" spans="1:63" ht="14.25" customHeight="1" x14ac:dyDescent="0.2">
      <c r="A151" s="7"/>
      <c r="B151" s="7"/>
      <c r="C151" s="7"/>
      <c r="D151" s="7"/>
      <c r="E151" s="92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</row>
    <row r="152" spans="1:63" ht="14.25" customHeight="1" x14ac:dyDescent="0.2">
      <c r="A152" s="7"/>
      <c r="B152" s="7"/>
      <c r="C152" s="7"/>
      <c r="D152" s="7"/>
      <c r="E152" s="92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</row>
    <row r="153" spans="1:63" ht="14.25" customHeight="1" x14ac:dyDescent="0.2">
      <c r="A153" s="7"/>
      <c r="B153" s="7"/>
      <c r="C153" s="7"/>
      <c r="D153" s="7"/>
      <c r="E153" s="92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</row>
    <row r="154" spans="1:63" ht="14.25" customHeight="1" x14ac:dyDescent="0.2">
      <c r="A154" s="7"/>
      <c r="B154" s="7"/>
      <c r="C154" s="7"/>
      <c r="D154" s="7"/>
      <c r="E154" s="92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</row>
    <row r="155" spans="1:63" ht="14.25" customHeight="1" x14ac:dyDescent="0.2">
      <c r="A155" s="7"/>
      <c r="B155" s="7"/>
      <c r="C155" s="7"/>
      <c r="D155" s="7"/>
      <c r="E155" s="92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</row>
    <row r="156" spans="1:63" ht="14.25" customHeight="1" x14ac:dyDescent="0.2">
      <c r="A156" s="7"/>
      <c r="B156" s="7"/>
      <c r="C156" s="7"/>
      <c r="D156" s="7"/>
      <c r="E156" s="92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</row>
    <row r="157" spans="1:63" ht="14.25" customHeight="1" x14ac:dyDescent="0.2">
      <c r="A157" s="7"/>
      <c r="B157" s="7"/>
      <c r="C157" s="7"/>
      <c r="D157" s="7"/>
      <c r="E157" s="92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</row>
    <row r="158" spans="1:63" ht="14.25" customHeight="1" x14ac:dyDescent="0.2">
      <c r="A158" s="7"/>
      <c r="B158" s="7"/>
      <c r="C158" s="7"/>
      <c r="D158" s="7"/>
      <c r="E158" s="92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</row>
    <row r="159" spans="1:63" ht="14.25" customHeight="1" x14ac:dyDescent="0.2">
      <c r="A159" s="7"/>
      <c r="B159" s="7"/>
      <c r="C159" s="7"/>
      <c r="D159" s="7"/>
      <c r="E159" s="92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</row>
    <row r="160" spans="1:63" ht="14.25" customHeight="1" x14ac:dyDescent="0.2">
      <c r="A160" s="7"/>
      <c r="B160" s="7"/>
      <c r="C160" s="7"/>
      <c r="D160" s="7"/>
      <c r="E160" s="92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</row>
    <row r="161" spans="1:63" ht="14.25" customHeight="1" x14ac:dyDescent="0.2">
      <c r="A161" s="7"/>
      <c r="B161" s="7"/>
      <c r="C161" s="7"/>
      <c r="D161" s="7"/>
      <c r="E161" s="92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</row>
    <row r="162" spans="1:63" ht="14.25" customHeight="1" x14ac:dyDescent="0.2">
      <c r="A162" s="7"/>
      <c r="B162" s="7"/>
      <c r="C162" s="7"/>
      <c r="D162" s="7"/>
      <c r="E162" s="92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</row>
    <row r="163" spans="1:63" ht="14.25" customHeight="1" x14ac:dyDescent="0.2">
      <c r="A163" s="7"/>
      <c r="B163" s="7"/>
      <c r="C163" s="7"/>
      <c r="D163" s="7"/>
      <c r="E163" s="92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</row>
    <row r="164" spans="1:63" ht="14.25" customHeight="1" x14ac:dyDescent="0.2">
      <c r="A164" s="7"/>
      <c r="B164" s="7"/>
      <c r="C164" s="7"/>
      <c r="D164" s="7"/>
      <c r="E164" s="92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</row>
    <row r="165" spans="1:63" ht="14.25" customHeight="1" x14ac:dyDescent="0.2">
      <c r="A165" s="7"/>
      <c r="B165" s="7"/>
      <c r="C165" s="7"/>
      <c r="D165" s="7"/>
      <c r="E165" s="92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</row>
    <row r="166" spans="1:63" ht="14.25" customHeight="1" x14ac:dyDescent="0.2">
      <c r="A166" s="7"/>
      <c r="B166" s="7"/>
      <c r="C166" s="7"/>
      <c r="D166" s="7"/>
      <c r="E166" s="92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</row>
    <row r="167" spans="1:63" ht="14.25" customHeight="1" x14ac:dyDescent="0.2">
      <c r="A167" s="7"/>
      <c r="B167" s="7"/>
      <c r="C167" s="7"/>
      <c r="D167" s="7"/>
      <c r="E167" s="92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</row>
    <row r="168" spans="1:63" ht="14.25" customHeight="1" x14ac:dyDescent="0.2">
      <c r="A168" s="7"/>
      <c r="B168" s="7"/>
      <c r="C168" s="7"/>
      <c r="D168" s="7"/>
      <c r="E168" s="92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</row>
    <row r="169" spans="1:63" ht="14.25" customHeight="1" x14ac:dyDescent="0.2">
      <c r="A169" s="7"/>
      <c r="B169" s="7"/>
      <c r="C169" s="7"/>
      <c r="D169" s="7"/>
      <c r="E169" s="92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</row>
    <row r="170" spans="1:63" ht="14.25" customHeight="1" x14ac:dyDescent="0.2">
      <c r="A170" s="7"/>
      <c r="B170" s="7"/>
      <c r="C170" s="7"/>
      <c r="D170" s="7"/>
      <c r="E170" s="92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</row>
    <row r="171" spans="1:63" ht="14.25" customHeight="1" x14ac:dyDescent="0.2">
      <c r="A171" s="7"/>
      <c r="B171" s="7"/>
      <c r="C171" s="7"/>
      <c r="D171" s="7"/>
      <c r="E171" s="92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</row>
    <row r="172" spans="1:63" ht="14.25" customHeight="1" x14ac:dyDescent="0.2">
      <c r="A172" s="7"/>
      <c r="B172" s="7"/>
      <c r="C172" s="7"/>
      <c r="D172" s="7"/>
      <c r="E172" s="92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</row>
    <row r="173" spans="1:63" ht="14.25" customHeight="1" x14ac:dyDescent="0.2">
      <c r="A173" s="7"/>
      <c r="B173" s="7"/>
      <c r="C173" s="7"/>
      <c r="D173" s="7"/>
      <c r="E173" s="92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</row>
    <row r="174" spans="1:63" ht="14.25" customHeight="1" x14ac:dyDescent="0.2">
      <c r="A174" s="7"/>
      <c r="B174" s="7"/>
      <c r="C174" s="7"/>
      <c r="D174" s="7"/>
      <c r="E174" s="92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</row>
    <row r="175" spans="1:63" ht="14.25" customHeight="1" x14ac:dyDescent="0.2">
      <c r="A175" s="7"/>
      <c r="B175" s="7"/>
      <c r="C175" s="7"/>
      <c r="D175" s="7"/>
      <c r="E175" s="92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</row>
    <row r="176" spans="1:63" ht="14.25" customHeight="1" x14ac:dyDescent="0.2">
      <c r="A176" s="7"/>
      <c r="B176" s="7"/>
      <c r="C176" s="7"/>
      <c r="D176" s="7"/>
      <c r="E176" s="92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</row>
    <row r="177" spans="1:63" ht="14.25" customHeight="1" x14ac:dyDescent="0.2">
      <c r="A177" s="7"/>
      <c r="B177" s="7"/>
      <c r="C177" s="7"/>
      <c r="D177" s="7"/>
      <c r="E177" s="92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</row>
    <row r="178" spans="1:63" ht="14.25" customHeight="1" x14ac:dyDescent="0.2">
      <c r="A178" s="7"/>
      <c r="B178" s="7"/>
      <c r="C178" s="7"/>
      <c r="D178" s="7"/>
      <c r="E178" s="92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</row>
    <row r="179" spans="1:63" ht="14.25" customHeight="1" x14ac:dyDescent="0.2">
      <c r="A179" s="7"/>
      <c r="B179" s="7"/>
      <c r="C179" s="7"/>
      <c r="D179" s="7"/>
      <c r="E179" s="92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</row>
    <row r="180" spans="1:63" ht="14.25" customHeight="1" x14ac:dyDescent="0.2">
      <c r="A180" s="7"/>
      <c r="B180" s="7"/>
      <c r="C180" s="7"/>
      <c r="D180" s="7"/>
      <c r="E180" s="92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</row>
    <row r="181" spans="1:63" ht="14.25" customHeight="1" x14ac:dyDescent="0.2">
      <c r="A181" s="7"/>
      <c r="B181" s="7"/>
      <c r="C181" s="7"/>
      <c r="D181" s="7"/>
      <c r="E181" s="92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</row>
    <row r="182" spans="1:63" ht="14.25" customHeight="1" x14ac:dyDescent="0.2">
      <c r="A182" s="7"/>
      <c r="B182" s="7"/>
      <c r="C182" s="7"/>
      <c r="D182" s="7"/>
      <c r="E182" s="92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</row>
    <row r="183" spans="1:63" ht="14.25" customHeight="1" x14ac:dyDescent="0.2">
      <c r="A183" s="7"/>
      <c r="B183" s="7"/>
      <c r="C183" s="7"/>
      <c r="D183" s="7"/>
      <c r="E183" s="92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</row>
    <row r="184" spans="1:63" ht="14.25" customHeight="1" x14ac:dyDescent="0.2">
      <c r="A184" s="7"/>
      <c r="B184" s="7"/>
      <c r="C184" s="7"/>
      <c r="D184" s="7"/>
      <c r="E184" s="92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</row>
    <row r="185" spans="1:63" ht="14.25" customHeight="1" x14ac:dyDescent="0.2">
      <c r="A185" s="7"/>
      <c r="B185" s="7"/>
      <c r="C185" s="7"/>
      <c r="D185" s="7"/>
      <c r="E185" s="92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</row>
    <row r="186" spans="1:63" ht="14.25" customHeight="1" x14ac:dyDescent="0.2">
      <c r="A186" s="7"/>
      <c r="B186" s="7"/>
      <c r="C186" s="7"/>
      <c r="D186" s="7"/>
      <c r="E186" s="92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</row>
    <row r="187" spans="1:63" ht="14.25" customHeight="1" x14ac:dyDescent="0.2">
      <c r="A187" s="7"/>
      <c r="B187" s="7"/>
      <c r="C187" s="7"/>
      <c r="D187" s="7"/>
      <c r="E187" s="92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</row>
    <row r="188" spans="1:63" ht="14.25" customHeight="1" x14ac:dyDescent="0.2">
      <c r="A188" s="7"/>
      <c r="B188" s="7"/>
      <c r="C188" s="7"/>
      <c r="D188" s="7"/>
      <c r="E188" s="92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</row>
    <row r="189" spans="1:63" ht="14.25" customHeight="1" x14ac:dyDescent="0.2">
      <c r="A189" s="7"/>
      <c r="B189" s="7"/>
      <c r="C189" s="7"/>
      <c r="D189" s="7"/>
      <c r="E189" s="92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</row>
    <row r="190" spans="1:63" ht="14.25" customHeight="1" x14ac:dyDescent="0.2">
      <c r="A190" s="7"/>
      <c r="B190" s="7"/>
      <c r="C190" s="7"/>
      <c r="D190" s="7"/>
      <c r="E190" s="92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</row>
    <row r="191" spans="1:63" ht="14.25" customHeight="1" x14ac:dyDescent="0.2">
      <c r="A191" s="7"/>
      <c r="B191" s="7"/>
      <c r="C191" s="7"/>
      <c r="D191" s="7"/>
      <c r="E191" s="92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</row>
    <row r="192" spans="1:63" ht="14.25" customHeight="1" x14ac:dyDescent="0.2">
      <c r="A192" s="7"/>
      <c r="B192" s="7"/>
      <c r="C192" s="7"/>
      <c r="D192" s="7"/>
      <c r="E192" s="92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</row>
    <row r="193" spans="1:63" ht="14.25" customHeight="1" x14ac:dyDescent="0.2">
      <c r="A193" s="7"/>
      <c r="B193" s="7"/>
      <c r="C193" s="7"/>
      <c r="D193" s="7"/>
      <c r="E193" s="92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</row>
    <row r="194" spans="1:63" ht="14.25" customHeight="1" x14ac:dyDescent="0.2">
      <c r="A194" s="7"/>
      <c r="B194" s="7"/>
      <c r="C194" s="7"/>
      <c r="D194" s="7"/>
      <c r="E194" s="92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</row>
    <row r="195" spans="1:63" ht="14.25" customHeight="1" x14ac:dyDescent="0.2">
      <c r="A195" s="7"/>
      <c r="B195" s="7"/>
      <c r="C195" s="7"/>
      <c r="D195" s="7"/>
      <c r="E195" s="92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</row>
    <row r="196" spans="1:63" ht="14.25" customHeight="1" x14ac:dyDescent="0.2">
      <c r="A196" s="7"/>
      <c r="B196" s="7"/>
      <c r="C196" s="7"/>
      <c r="D196" s="7"/>
      <c r="E196" s="92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</row>
    <row r="197" spans="1:63" ht="14.25" customHeight="1" x14ac:dyDescent="0.2">
      <c r="A197" s="7"/>
      <c r="B197" s="7"/>
      <c r="C197" s="7"/>
      <c r="D197" s="7"/>
      <c r="E197" s="92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</row>
    <row r="198" spans="1:63" ht="14.25" customHeight="1" x14ac:dyDescent="0.2">
      <c r="A198" s="7"/>
      <c r="B198" s="7"/>
      <c r="C198" s="7"/>
      <c r="D198" s="7"/>
      <c r="E198" s="92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</row>
    <row r="199" spans="1:63" ht="14.25" customHeight="1" x14ac:dyDescent="0.2">
      <c r="A199" s="7"/>
      <c r="B199" s="7"/>
      <c r="C199" s="7"/>
      <c r="D199" s="7"/>
      <c r="E199" s="92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</row>
    <row r="200" spans="1:63" ht="14.25" customHeight="1" x14ac:dyDescent="0.2">
      <c r="A200" s="7"/>
      <c r="B200" s="7"/>
      <c r="C200" s="7"/>
      <c r="D200" s="7"/>
      <c r="E200" s="92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</row>
    <row r="201" spans="1:63" ht="14.25" customHeight="1" x14ac:dyDescent="0.2">
      <c r="A201" s="7"/>
      <c r="B201" s="7"/>
      <c r="C201" s="7"/>
      <c r="D201" s="7"/>
      <c r="E201" s="92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</row>
    <row r="202" spans="1:63" ht="14.25" customHeight="1" x14ac:dyDescent="0.2">
      <c r="A202" s="7"/>
      <c r="B202" s="7"/>
      <c r="C202" s="7"/>
      <c r="D202" s="7"/>
      <c r="E202" s="92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</row>
    <row r="203" spans="1:63" ht="14.25" customHeight="1" x14ac:dyDescent="0.2">
      <c r="A203" s="7"/>
      <c r="B203" s="7"/>
      <c r="C203" s="7"/>
      <c r="D203" s="7"/>
      <c r="E203" s="92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</row>
    <row r="204" spans="1:63" ht="14.25" customHeight="1" x14ac:dyDescent="0.2">
      <c r="A204" s="7"/>
      <c r="B204" s="7"/>
      <c r="C204" s="7"/>
      <c r="D204" s="7"/>
      <c r="E204" s="92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</row>
    <row r="205" spans="1:63" ht="14.25" customHeight="1" x14ac:dyDescent="0.2">
      <c r="A205" s="7"/>
      <c r="B205" s="7"/>
      <c r="C205" s="7"/>
      <c r="D205" s="7"/>
      <c r="E205" s="92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</row>
    <row r="206" spans="1:63" ht="14.25" customHeight="1" x14ac:dyDescent="0.2">
      <c r="A206" s="7"/>
      <c r="B206" s="7"/>
      <c r="C206" s="7"/>
      <c r="D206" s="7"/>
      <c r="E206" s="92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</row>
    <row r="207" spans="1:63" ht="14.25" customHeight="1" x14ac:dyDescent="0.2">
      <c r="A207" s="7"/>
      <c r="B207" s="7"/>
      <c r="C207" s="7"/>
      <c r="D207" s="7"/>
      <c r="E207" s="92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</row>
    <row r="208" spans="1:63" ht="14.25" customHeight="1" x14ac:dyDescent="0.2">
      <c r="A208" s="7"/>
      <c r="B208" s="7"/>
      <c r="C208" s="7"/>
      <c r="D208" s="7"/>
      <c r="E208" s="92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</row>
    <row r="209" spans="1:63" ht="14.25" customHeight="1" x14ac:dyDescent="0.2">
      <c r="A209" s="7"/>
      <c r="B209" s="7"/>
      <c r="C209" s="7"/>
      <c r="D209" s="7"/>
      <c r="E209" s="92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</row>
    <row r="210" spans="1:63" ht="14.25" customHeight="1" x14ac:dyDescent="0.2">
      <c r="A210" s="7"/>
      <c r="B210" s="7"/>
      <c r="C210" s="7"/>
      <c r="D210" s="7"/>
      <c r="E210" s="92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</row>
    <row r="211" spans="1:63" ht="14.25" customHeight="1" x14ac:dyDescent="0.2">
      <c r="A211" s="7"/>
      <c r="B211" s="7"/>
      <c r="C211" s="7"/>
      <c r="D211" s="7"/>
      <c r="E211" s="92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</row>
    <row r="212" spans="1:63" ht="14.25" customHeight="1" x14ac:dyDescent="0.2">
      <c r="A212" s="7"/>
      <c r="B212" s="7"/>
      <c r="C212" s="7"/>
      <c r="D212" s="7"/>
      <c r="E212" s="92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</row>
    <row r="213" spans="1:63" ht="14.25" customHeight="1" x14ac:dyDescent="0.2">
      <c r="A213" s="7"/>
      <c r="B213" s="7"/>
      <c r="C213" s="7"/>
      <c r="D213" s="7"/>
      <c r="E213" s="92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</row>
    <row r="214" spans="1:63" ht="14.25" customHeight="1" x14ac:dyDescent="0.2">
      <c r="A214" s="7"/>
      <c r="B214" s="7"/>
      <c r="C214" s="7"/>
      <c r="D214" s="7"/>
      <c r="E214" s="92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</row>
    <row r="215" spans="1:63" ht="14.25" customHeight="1" x14ac:dyDescent="0.2">
      <c r="A215" s="7"/>
      <c r="B215" s="7"/>
      <c r="C215" s="7"/>
      <c r="D215" s="7"/>
      <c r="E215" s="92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</row>
    <row r="216" spans="1:63" ht="14.25" customHeight="1" x14ac:dyDescent="0.2">
      <c r="A216" s="7"/>
      <c r="B216" s="7"/>
      <c r="C216" s="7"/>
      <c r="D216" s="7"/>
      <c r="E216" s="92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</row>
    <row r="217" spans="1:63" ht="14.25" customHeight="1" x14ac:dyDescent="0.2">
      <c r="A217" s="7"/>
      <c r="B217" s="7"/>
      <c r="C217" s="7"/>
      <c r="D217" s="7"/>
      <c r="E217" s="92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</row>
    <row r="218" spans="1:63" ht="14.25" customHeight="1" x14ac:dyDescent="0.2">
      <c r="A218" s="7"/>
      <c r="B218" s="7"/>
      <c r="C218" s="7"/>
      <c r="D218" s="7"/>
      <c r="E218" s="92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</row>
    <row r="219" spans="1:63" ht="14.25" customHeight="1" x14ac:dyDescent="0.2">
      <c r="A219" s="7"/>
      <c r="B219" s="7"/>
      <c r="C219" s="7"/>
      <c r="D219" s="7"/>
      <c r="E219" s="92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</row>
    <row r="220" spans="1:63" ht="14.25" customHeight="1" x14ac:dyDescent="0.2">
      <c r="A220" s="7"/>
      <c r="B220" s="7"/>
      <c r="C220" s="7"/>
      <c r="D220" s="7"/>
      <c r="E220" s="92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</row>
    <row r="221" spans="1:63" ht="14.25" customHeight="1" x14ac:dyDescent="0.2">
      <c r="A221" s="7"/>
      <c r="B221" s="7"/>
      <c r="C221" s="7"/>
      <c r="D221" s="7"/>
      <c r="E221" s="92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</row>
    <row r="222" spans="1:63" ht="14.25" customHeight="1" x14ac:dyDescent="0.2">
      <c r="A222" s="7"/>
      <c r="B222" s="7"/>
      <c r="C222" s="7"/>
      <c r="D222" s="7"/>
      <c r="E222" s="92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</row>
    <row r="223" spans="1:63" ht="14.25" customHeight="1" x14ac:dyDescent="0.2">
      <c r="A223" s="7"/>
      <c r="B223" s="7"/>
      <c r="C223" s="7"/>
      <c r="D223" s="7"/>
      <c r="E223" s="92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</row>
    <row r="224" spans="1:63" ht="14.25" customHeight="1" x14ac:dyDescent="0.2">
      <c r="A224" s="7"/>
      <c r="B224" s="7"/>
      <c r="C224" s="7"/>
      <c r="D224" s="7"/>
      <c r="E224" s="92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</row>
    <row r="225" spans="1:63" ht="14.25" customHeight="1" x14ac:dyDescent="0.2">
      <c r="A225" s="7"/>
      <c r="B225" s="7"/>
      <c r="C225" s="7"/>
      <c r="D225" s="7"/>
      <c r="E225" s="92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</row>
    <row r="226" spans="1:63" ht="14.25" customHeight="1" x14ac:dyDescent="0.2">
      <c r="A226" s="7"/>
      <c r="B226" s="7"/>
      <c r="C226" s="7"/>
      <c r="D226" s="7"/>
      <c r="E226" s="92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</row>
    <row r="227" spans="1:63" ht="14.25" customHeight="1" x14ac:dyDescent="0.2">
      <c r="A227" s="7"/>
      <c r="B227" s="7"/>
      <c r="C227" s="7"/>
      <c r="D227" s="7"/>
      <c r="E227" s="92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</row>
    <row r="228" spans="1:63" ht="14.25" customHeight="1" x14ac:dyDescent="0.2">
      <c r="A228" s="7"/>
      <c r="B228" s="7"/>
      <c r="C228" s="7"/>
      <c r="D228" s="7"/>
      <c r="E228" s="92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</row>
    <row r="229" spans="1:63" ht="14.25" customHeight="1" x14ac:dyDescent="0.2">
      <c r="A229" s="7"/>
      <c r="B229" s="7"/>
      <c r="C229" s="7"/>
      <c r="D229" s="7"/>
      <c r="E229" s="92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</row>
    <row r="230" spans="1:63" ht="14.25" customHeight="1" x14ac:dyDescent="0.2">
      <c r="A230" s="7"/>
      <c r="B230" s="7"/>
      <c r="C230" s="7"/>
      <c r="D230" s="7"/>
      <c r="E230" s="92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</row>
    <row r="231" spans="1:63" ht="14.25" customHeight="1" x14ac:dyDescent="0.2">
      <c r="A231" s="7"/>
      <c r="B231" s="7"/>
      <c r="C231" s="7"/>
      <c r="D231" s="7"/>
      <c r="E231" s="92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</row>
    <row r="232" spans="1:63" ht="14.25" customHeight="1" x14ac:dyDescent="0.2">
      <c r="A232" s="7"/>
      <c r="B232" s="7"/>
      <c r="C232" s="7"/>
      <c r="D232" s="7"/>
      <c r="E232" s="92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</row>
    <row r="233" spans="1:63" ht="14.25" customHeight="1" x14ac:dyDescent="0.2">
      <c r="A233" s="7"/>
      <c r="B233" s="7"/>
      <c r="C233" s="7"/>
      <c r="D233" s="7"/>
      <c r="E233" s="92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</row>
    <row r="234" spans="1:63" ht="14.25" customHeight="1" x14ac:dyDescent="0.2">
      <c r="A234" s="7"/>
      <c r="B234" s="7"/>
      <c r="C234" s="7"/>
      <c r="D234" s="7"/>
      <c r="E234" s="92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</row>
    <row r="235" spans="1:63" ht="14.25" customHeight="1" x14ac:dyDescent="0.2">
      <c r="A235" s="7"/>
      <c r="B235" s="7"/>
      <c r="C235" s="7"/>
      <c r="D235" s="7"/>
      <c r="E235" s="92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</row>
    <row r="236" spans="1:63" ht="14.25" customHeight="1" x14ac:dyDescent="0.2">
      <c r="A236" s="7"/>
      <c r="B236" s="7"/>
      <c r="C236" s="7"/>
      <c r="D236" s="7"/>
      <c r="E236" s="92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</row>
    <row r="237" spans="1:63" ht="14.25" customHeight="1" x14ac:dyDescent="0.2">
      <c r="A237" s="7"/>
      <c r="B237" s="7"/>
      <c r="C237" s="7"/>
      <c r="D237" s="7"/>
      <c r="E237" s="92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</row>
    <row r="238" spans="1:63" ht="14.25" customHeight="1" x14ac:dyDescent="0.2">
      <c r="A238" s="7"/>
      <c r="B238" s="7"/>
      <c r="C238" s="7"/>
      <c r="D238" s="7"/>
      <c r="E238" s="92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</row>
    <row r="239" spans="1:63" ht="14.25" customHeight="1" x14ac:dyDescent="0.2">
      <c r="A239" s="7"/>
      <c r="B239" s="7"/>
      <c r="C239" s="7"/>
      <c r="D239" s="7"/>
      <c r="E239" s="92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</row>
    <row r="240" spans="1:63" ht="14.25" customHeight="1" x14ac:dyDescent="0.2">
      <c r="A240" s="7"/>
      <c r="B240" s="7"/>
      <c r="C240" s="7"/>
      <c r="D240" s="7"/>
      <c r="E240" s="92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</row>
    <row r="241" spans="1:63" ht="14.25" customHeight="1" x14ac:dyDescent="0.2">
      <c r="A241" s="7"/>
      <c r="B241" s="7"/>
      <c r="C241" s="7"/>
      <c r="D241" s="7"/>
      <c r="E241" s="92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</row>
    <row r="242" spans="1:63" ht="14.25" customHeight="1" x14ac:dyDescent="0.2">
      <c r="A242" s="7"/>
      <c r="B242" s="7"/>
      <c r="C242" s="7"/>
      <c r="D242" s="7"/>
      <c r="E242" s="92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</row>
    <row r="243" spans="1:63" ht="14.25" customHeight="1" x14ac:dyDescent="0.2">
      <c r="A243" s="7"/>
      <c r="B243" s="7"/>
      <c r="C243" s="7"/>
      <c r="D243" s="7"/>
      <c r="E243" s="92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</row>
    <row r="244" spans="1:63" ht="14.25" customHeight="1" x14ac:dyDescent="0.2">
      <c r="A244" s="7"/>
      <c r="B244" s="7"/>
      <c r="C244" s="7"/>
      <c r="D244" s="7"/>
      <c r="E244" s="92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</row>
    <row r="245" spans="1:63" ht="14.25" customHeight="1" x14ac:dyDescent="0.2">
      <c r="A245" s="7"/>
      <c r="B245" s="7"/>
      <c r="C245" s="7"/>
      <c r="D245" s="7"/>
      <c r="E245" s="92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</row>
    <row r="246" spans="1:63" ht="14.25" customHeight="1" x14ac:dyDescent="0.2">
      <c r="A246" s="7"/>
      <c r="B246" s="7"/>
      <c r="C246" s="7"/>
      <c r="D246" s="7"/>
      <c r="E246" s="92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</row>
    <row r="247" spans="1:63" ht="14.25" customHeight="1" x14ac:dyDescent="0.2">
      <c r="A247" s="7"/>
      <c r="B247" s="7"/>
      <c r="C247" s="7"/>
      <c r="D247" s="7"/>
      <c r="E247" s="92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</row>
    <row r="248" spans="1:63" ht="14.25" customHeight="1" x14ac:dyDescent="0.2">
      <c r="A248" s="7"/>
      <c r="B248" s="7"/>
      <c r="C248" s="7"/>
      <c r="D248" s="7"/>
      <c r="E248" s="92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</row>
    <row r="249" spans="1:63" ht="14.25" customHeight="1" x14ac:dyDescent="0.2">
      <c r="A249" s="7"/>
      <c r="B249" s="7"/>
      <c r="C249" s="7"/>
      <c r="D249" s="7"/>
      <c r="E249" s="92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</row>
    <row r="250" spans="1:63" ht="14.25" customHeight="1" x14ac:dyDescent="0.2">
      <c r="A250" s="7"/>
      <c r="B250" s="7"/>
      <c r="C250" s="7"/>
      <c r="D250" s="7"/>
      <c r="E250" s="92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</row>
    <row r="251" spans="1:63" ht="14.25" customHeight="1" x14ac:dyDescent="0.2">
      <c r="A251" s="7"/>
      <c r="B251" s="7"/>
      <c r="C251" s="7"/>
      <c r="D251" s="7"/>
      <c r="E251" s="92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</row>
    <row r="252" spans="1:63" ht="14.25" customHeight="1" x14ac:dyDescent="0.2">
      <c r="A252" s="7"/>
      <c r="B252" s="7"/>
      <c r="C252" s="7"/>
      <c r="D252" s="7"/>
      <c r="E252" s="92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</row>
    <row r="253" spans="1:63" ht="14.25" customHeight="1" x14ac:dyDescent="0.2">
      <c r="A253" s="7"/>
      <c r="B253" s="7"/>
      <c r="C253" s="7"/>
      <c r="D253" s="7"/>
      <c r="E253" s="92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</row>
    <row r="254" spans="1:63" ht="14.25" customHeight="1" x14ac:dyDescent="0.2">
      <c r="A254" s="7"/>
      <c r="B254" s="7"/>
      <c r="C254" s="7"/>
      <c r="D254" s="7"/>
      <c r="E254" s="92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</row>
    <row r="255" spans="1:63" ht="14.25" customHeight="1" x14ac:dyDescent="0.2">
      <c r="A255" s="7"/>
      <c r="B255" s="7"/>
      <c r="C255" s="7"/>
      <c r="D255" s="7"/>
      <c r="E255" s="92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</row>
    <row r="256" spans="1:63" ht="14.25" customHeight="1" x14ac:dyDescent="0.2">
      <c r="A256" s="7"/>
      <c r="B256" s="7"/>
      <c r="C256" s="7"/>
      <c r="D256" s="7"/>
      <c r="E256" s="92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</row>
    <row r="257" spans="1:63" ht="14.25" customHeight="1" x14ac:dyDescent="0.2">
      <c r="A257" s="7"/>
      <c r="B257" s="7"/>
      <c r="C257" s="7"/>
      <c r="D257" s="7"/>
      <c r="E257" s="92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</row>
    <row r="258" spans="1:63" ht="14.25" customHeight="1" x14ac:dyDescent="0.2">
      <c r="A258" s="7"/>
      <c r="B258" s="7"/>
      <c r="C258" s="7"/>
      <c r="D258" s="7"/>
      <c r="E258" s="92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</row>
    <row r="259" spans="1:63" ht="14.25" customHeight="1" x14ac:dyDescent="0.2">
      <c r="A259" s="7"/>
      <c r="B259" s="7"/>
      <c r="C259" s="7"/>
      <c r="D259" s="7"/>
      <c r="E259" s="92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</row>
    <row r="260" spans="1:63" ht="14.25" customHeight="1" x14ac:dyDescent="0.2">
      <c r="A260" s="7"/>
      <c r="B260" s="7"/>
      <c r="C260" s="7"/>
      <c r="D260" s="7"/>
      <c r="E260" s="92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</row>
    <row r="261" spans="1:63" ht="14.25" customHeight="1" x14ac:dyDescent="0.2">
      <c r="A261" s="7"/>
      <c r="B261" s="7"/>
      <c r="C261" s="7"/>
      <c r="D261" s="7"/>
      <c r="E261" s="92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</row>
    <row r="262" spans="1:63" ht="14.25" customHeight="1" x14ac:dyDescent="0.2">
      <c r="A262" s="7"/>
      <c r="B262" s="7"/>
      <c r="C262" s="7"/>
      <c r="D262" s="7"/>
      <c r="E262" s="92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</row>
    <row r="263" spans="1:63" ht="14.25" customHeight="1" x14ac:dyDescent="0.2">
      <c r="A263" s="7"/>
      <c r="B263" s="7"/>
      <c r="C263" s="7"/>
      <c r="D263" s="7"/>
      <c r="E263" s="92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</row>
    <row r="264" spans="1:63" ht="14.25" customHeight="1" x14ac:dyDescent="0.2">
      <c r="A264" s="7"/>
      <c r="B264" s="7"/>
      <c r="C264" s="7"/>
      <c r="D264" s="7"/>
      <c r="E264" s="92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</row>
    <row r="265" spans="1:63" ht="14.25" customHeight="1" x14ac:dyDescent="0.2">
      <c r="A265" s="7"/>
      <c r="B265" s="7"/>
      <c r="C265" s="7"/>
      <c r="D265" s="7"/>
      <c r="E265" s="92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</row>
    <row r="266" spans="1:63" ht="14.25" customHeight="1" x14ac:dyDescent="0.2">
      <c r="A266" s="7"/>
      <c r="B266" s="7"/>
      <c r="C266" s="7"/>
      <c r="D266" s="7"/>
      <c r="E266" s="92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</row>
    <row r="267" spans="1:63" ht="14.25" customHeight="1" x14ac:dyDescent="0.2">
      <c r="A267" s="7"/>
      <c r="B267" s="7"/>
      <c r="C267" s="7"/>
      <c r="D267" s="7"/>
      <c r="E267" s="92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</row>
    <row r="268" spans="1:63" ht="14.25" customHeight="1" x14ac:dyDescent="0.2">
      <c r="A268" s="7"/>
      <c r="B268" s="7"/>
      <c r="C268" s="7"/>
      <c r="D268" s="7"/>
      <c r="E268" s="92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</row>
    <row r="269" spans="1:63" ht="14.25" customHeight="1" x14ac:dyDescent="0.2">
      <c r="A269" s="7"/>
      <c r="B269" s="7"/>
      <c r="C269" s="7"/>
      <c r="D269" s="7"/>
      <c r="E269" s="92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</row>
    <row r="270" spans="1:63" ht="14.25" customHeight="1" x14ac:dyDescent="0.2">
      <c r="A270" s="7"/>
      <c r="B270" s="7"/>
      <c r="C270" s="7"/>
      <c r="D270" s="7"/>
      <c r="E270" s="92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</row>
    <row r="271" spans="1:63" ht="14.25" customHeight="1" x14ac:dyDescent="0.2">
      <c r="A271" s="7"/>
      <c r="B271" s="7"/>
      <c r="C271" s="7"/>
      <c r="D271" s="7"/>
      <c r="E271" s="92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</row>
    <row r="272" spans="1:63" ht="14.25" customHeight="1" x14ac:dyDescent="0.2">
      <c r="A272" s="7"/>
      <c r="B272" s="7"/>
      <c r="C272" s="7"/>
      <c r="D272" s="7"/>
      <c r="E272" s="92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</row>
    <row r="273" spans="1:63" ht="14.25" customHeight="1" x14ac:dyDescent="0.2">
      <c r="A273" s="7"/>
      <c r="B273" s="7"/>
      <c r="C273" s="7"/>
      <c r="D273" s="7"/>
      <c r="E273" s="92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</row>
    <row r="274" spans="1:63" ht="14.25" customHeight="1" x14ac:dyDescent="0.2">
      <c r="A274" s="7"/>
      <c r="B274" s="7"/>
      <c r="C274" s="7"/>
      <c r="D274" s="7"/>
      <c r="E274" s="92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</row>
    <row r="275" spans="1:63" ht="14.25" customHeight="1" x14ac:dyDescent="0.2">
      <c r="A275" s="7"/>
      <c r="B275" s="7"/>
      <c r="C275" s="7"/>
      <c r="D275" s="7"/>
      <c r="E275" s="92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</row>
    <row r="276" spans="1:63" ht="14.25" customHeight="1" x14ac:dyDescent="0.2">
      <c r="A276" s="7"/>
      <c r="B276" s="7"/>
      <c r="C276" s="7"/>
      <c r="D276" s="7"/>
      <c r="E276" s="92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</row>
    <row r="277" spans="1:63" ht="14.25" customHeight="1" x14ac:dyDescent="0.2">
      <c r="A277" s="7"/>
      <c r="B277" s="7"/>
      <c r="C277" s="7"/>
      <c r="D277" s="7"/>
      <c r="E277" s="92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</row>
    <row r="278" spans="1:63" ht="14.25" customHeight="1" x14ac:dyDescent="0.2">
      <c r="A278" s="7"/>
      <c r="B278" s="7"/>
      <c r="C278" s="7"/>
      <c r="D278" s="7"/>
      <c r="E278" s="92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</row>
    <row r="279" spans="1:63" ht="14.25" customHeight="1" x14ac:dyDescent="0.2">
      <c r="A279" s="7"/>
      <c r="B279" s="7"/>
      <c r="C279" s="7"/>
      <c r="D279" s="7"/>
      <c r="E279" s="92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</row>
    <row r="280" spans="1:63" ht="14.25" customHeight="1" x14ac:dyDescent="0.2">
      <c r="A280" s="7"/>
      <c r="B280" s="7"/>
      <c r="C280" s="7"/>
      <c r="D280" s="7"/>
      <c r="E280" s="92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</row>
    <row r="281" spans="1:63" ht="14.25" customHeight="1" x14ac:dyDescent="0.2">
      <c r="A281" s="7"/>
      <c r="B281" s="7"/>
      <c r="C281" s="7"/>
      <c r="D281" s="7"/>
      <c r="E281" s="92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</row>
    <row r="282" spans="1:63" ht="14.25" customHeight="1" x14ac:dyDescent="0.2">
      <c r="A282" s="7"/>
      <c r="B282" s="7"/>
      <c r="C282" s="7"/>
      <c r="D282" s="7"/>
      <c r="E282" s="92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</row>
    <row r="283" spans="1:63" ht="14.25" customHeight="1" x14ac:dyDescent="0.2">
      <c r="A283" s="7"/>
      <c r="B283" s="7"/>
      <c r="C283" s="7"/>
      <c r="D283" s="7"/>
      <c r="E283" s="92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</row>
    <row r="284" spans="1:63" ht="14.25" customHeight="1" x14ac:dyDescent="0.2">
      <c r="A284" s="7"/>
      <c r="B284" s="7"/>
      <c r="C284" s="7"/>
      <c r="D284" s="7"/>
      <c r="E284" s="92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</row>
    <row r="285" spans="1:63" ht="14.25" customHeight="1" x14ac:dyDescent="0.2">
      <c r="A285" s="7"/>
      <c r="B285" s="7"/>
      <c r="C285" s="7"/>
      <c r="D285" s="7"/>
      <c r="E285" s="92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</row>
    <row r="286" spans="1:63" ht="14.25" customHeight="1" x14ac:dyDescent="0.2">
      <c r="A286" s="7"/>
      <c r="B286" s="7"/>
      <c r="C286" s="7"/>
      <c r="D286" s="7"/>
      <c r="E286" s="92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</row>
    <row r="287" spans="1:63" ht="14.25" customHeight="1" x14ac:dyDescent="0.2">
      <c r="A287" s="7"/>
      <c r="B287" s="7"/>
      <c r="C287" s="7"/>
      <c r="D287" s="7"/>
      <c r="E287" s="92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</row>
    <row r="288" spans="1:63" ht="14.25" customHeight="1" x14ac:dyDescent="0.2">
      <c r="A288" s="7"/>
      <c r="B288" s="7"/>
      <c r="C288" s="7"/>
      <c r="D288" s="7"/>
      <c r="E288" s="92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</row>
    <row r="289" spans="1:63" ht="14.25" customHeight="1" x14ac:dyDescent="0.2">
      <c r="A289" s="7"/>
      <c r="B289" s="7"/>
      <c r="C289" s="7"/>
      <c r="D289" s="7"/>
      <c r="E289" s="92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</row>
    <row r="290" spans="1:63" ht="14.25" customHeight="1" x14ac:dyDescent="0.2">
      <c r="A290" s="7"/>
      <c r="B290" s="7"/>
      <c r="C290" s="7"/>
      <c r="D290" s="7"/>
      <c r="E290" s="92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</row>
    <row r="291" spans="1:63" ht="14.25" customHeight="1" x14ac:dyDescent="0.2">
      <c r="A291" s="7"/>
      <c r="B291" s="7"/>
      <c r="C291" s="7"/>
      <c r="D291" s="7"/>
      <c r="E291" s="92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</row>
    <row r="292" spans="1:63" ht="14.25" customHeight="1" x14ac:dyDescent="0.2">
      <c r="A292" s="7"/>
      <c r="B292" s="7"/>
      <c r="C292" s="7"/>
      <c r="D292" s="7"/>
      <c r="E292" s="92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</row>
    <row r="293" spans="1:63" ht="14.25" customHeight="1" x14ac:dyDescent="0.2">
      <c r="A293" s="7"/>
      <c r="B293" s="7"/>
      <c r="C293" s="7"/>
      <c r="D293" s="7"/>
      <c r="E293" s="92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</row>
    <row r="294" spans="1:63" ht="14.25" customHeight="1" x14ac:dyDescent="0.2">
      <c r="A294" s="7"/>
      <c r="B294" s="7"/>
      <c r="C294" s="7"/>
      <c r="D294" s="7"/>
      <c r="E294" s="92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</row>
    <row r="295" spans="1:63" ht="14.25" customHeight="1" x14ac:dyDescent="0.2">
      <c r="A295" s="7"/>
      <c r="B295" s="7"/>
      <c r="C295" s="7"/>
      <c r="D295" s="7"/>
      <c r="E295" s="92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</row>
    <row r="296" spans="1:63" ht="14.25" customHeight="1" x14ac:dyDescent="0.2">
      <c r="A296" s="7"/>
      <c r="B296" s="7"/>
      <c r="C296" s="7"/>
      <c r="D296" s="7"/>
      <c r="E296" s="92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</row>
    <row r="297" spans="1:63" ht="14.25" customHeight="1" x14ac:dyDescent="0.2">
      <c r="A297" s="7"/>
      <c r="B297" s="7"/>
      <c r="C297" s="7"/>
      <c r="D297" s="7"/>
      <c r="E297" s="92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</row>
    <row r="298" spans="1:63" ht="14.25" customHeight="1" x14ac:dyDescent="0.2">
      <c r="A298" s="7"/>
      <c r="B298" s="7"/>
      <c r="C298" s="7"/>
      <c r="D298" s="7"/>
      <c r="E298" s="92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</row>
    <row r="299" spans="1:63" ht="14.25" customHeight="1" x14ac:dyDescent="0.2">
      <c r="A299" s="7"/>
      <c r="B299" s="7"/>
      <c r="C299" s="7"/>
      <c r="D299" s="7"/>
      <c r="E299" s="92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</row>
    <row r="300" spans="1:63" ht="14.25" customHeight="1" x14ac:dyDescent="0.2">
      <c r="A300" s="7"/>
      <c r="B300" s="7"/>
      <c r="C300" s="7"/>
      <c r="D300" s="7"/>
      <c r="E300" s="92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</row>
    <row r="301" spans="1:63" ht="14.25" customHeight="1" x14ac:dyDescent="0.2">
      <c r="A301" s="7"/>
      <c r="B301" s="7"/>
      <c r="C301" s="7"/>
      <c r="D301" s="7"/>
      <c r="E301" s="92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</row>
    <row r="302" spans="1:63" ht="14.25" customHeight="1" x14ac:dyDescent="0.2">
      <c r="A302" s="7"/>
      <c r="B302" s="7"/>
      <c r="C302" s="7"/>
      <c r="D302" s="7"/>
      <c r="E302" s="92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</row>
    <row r="303" spans="1:63" ht="14.25" customHeight="1" x14ac:dyDescent="0.2">
      <c r="A303" s="7"/>
      <c r="B303" s="7"/>
      <c r="C303" s="7"/>
      <c r="D303" s="7"/>
      <c r="E303" s="92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</row>
    <row r="304" spans="1:63" ht="14.25" customHeight="1" x14ac:dyDescent="0.2">
      <c r="A304" s="7"/>
      <c r="B304" s="7"/>
      <c r="C304" s="7"/>
      <c r="D304" s="7"/>
      <c r="E304" s="92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</row>
    <row r="305" spans="1:63" ht="14.25" customHeight="1" x14ac:dyDescent="0.2">
      <c r="A305" s="7"/>
      <c r="B305" s="7"/>
      <c r="C305" s="7"/>
      <c r="D305" s="7"/>
      <c r="E305" s="92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</row>
    <row r="306" spans="1:63" ht="14.25" customHeight="1" x14ac:dyDescent="0.2">
      <c r="A306" s="7"/>
      <c r="B306" s="7"/>
      <c r="C306" s="7"/>
      <c r="D306" s="7"/>
      <c r="E306" s="92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</row>
    <row r="307" spans="1:63" ht="14.25" customHeight="1" x14ac:dyDescent="0.2">
      <c r="A307" s="7"/>
      <c r="B307" s="7"/>
      <c r="C307" s="7"/>
      <c r="D307" s="7"/>
      <c r="E307" s="92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</row>
    <row r="308" spans="1:63" ht="14.25" customHeight="1" x14ac:dyDescent="0.2">
      <c r="A308" s="7"/>
      <c r="B308" s="7"/>
      <c r="C308" s="7"/>
      <c r="D308" s="7"/>
      <c r="E308" s="92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</row>
    <row r="309" spans="1:63" ht="14.25" customHeight="1" x14ac:dyDescent="0.2">
      <c r="A309" s="7"/>
      <c r="B309" s="7"/>
      <c r="C309" s="7"/>
      <c r="D309" s="7"/>
      <c r="E309" s="92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</row>
    <row r="310" spans="1:63" ht="14.25" customHeight="1" x14ac:dyDescent="0.2">
      <c r="A310" s="7"/>
      <c r="B310" s="7"/>
      <c r="C310" s="7"/>
      <c r="D310" s="7"/>
      <c r="E310" s="92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</row>
    <row r="311" spans="1:63" ht="14.25" customHeight="1" x14ac:dyDescent="0.2">
      <c r="A311" s="7"/>
      <c r="B311" s="7"/>
      <c r="C311" s="7"/>
      <c r="D311" s="7"/>
      <c r="E311" s="92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</row>
    <row r="312" spans="1:63" ht="14.25" customHeight="1" x14ac:dyDescent="0.2">
      <c r="A312" s="7"/>
      <c r="B312" s="7"/>
      <c r="C312" s="7"/>
      <c r="D312" s="7"/>
      <c r="E312" s="92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</row>
    <row r="313" spans="1:63" ht="14.25" customHeight="1" x14ac:dyDescent="0.2">
      <c r="A313" s="7"/>
      <c r="B313" s="7"/>
      <c r="C313" s="7"/>
      <c r="D313" s="7"/>
      <c r="E313" s="92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</row>
    <row r="314" spans="1:63" ht="14.25" customHeight="1" x14ac:dyDescent="0.2">
      <c r="A314" s="7"/>
      <c r="B314" s="7"/>
      <c r="C314" s="7"/>
      <c r="D314" s="7"/>
      <c r="E314" s="92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</row>
    <row r="315" spans="1:63" ht="14.25" customHeight="1" x14ac:dyDescent="0.2">
      <c r="A315" s="7"/>
      <c r="B315" s="7"/>
      <c r="C315" s="7"/>
      <c r="D315" s="7"/>
      <c r="E315" s="92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</row>
    <row r="316" spans="1:63" ht="14.25" customHeight="1" x14ac:dyDescent="0.2">
      <c r="A316" s="7"/>
      <c r="B316" s="7"/>
      <c r="C316" s="7"/>
      <c r="D316" s="7"/>
      <c r="E316" s="92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</row>
    <row r="317" spans="1:63" ht="14.25" customHeight="1" x14ac:dyDescent="0.2">
      <c r="A317" s="7"/>
      <c r="B317" s="7"/>
      <c r="C317" s="7"/>
      <c r="D317" s="7"/>
      <c r="E317" s="92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</row>
    <row r="318" spans="1:63" ht="14.25" customHeight="1" x14ac:dyDescent="0.2">
      <c r="A318" s="7"/>
      <c r="B318" s="7"/>
      <c r="C318" s="7"/>
      <c r="D318" s="7"/>
      <c r="E318" s="92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</row>
    <row r="319" spans="1:63" ht="14.25" customHeight="1" x14ac:dyDescent="0.2">
      <c r="A319" s="7"/>
      <c r="B319" s="7"/>
      <c r="C319" s="7"/>
      <c r="D319" s="7"/>
      <c r="E319" s="92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</row>
    <row r="320" spans="1:63" ht="14.25" customHeight="1" x14ac:dyDescent="0.2">
      <c r="A320" s="7"/>
      <c r="B320" s="7"/>
      <c r="C320" s="7"/>
      <c r="D320" s="7"/>
      <c r="E320" s="92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</row>
    <row r="321" spans="1:63" ht="14.25" customHeight="1" x14ac:dyDescent="0.2">
      <c r="A321" s="7"/>
      <c r="B321" s="7"/>
      <c r="C321" s="7"/>
      <c r="D321" s="7"/>
      <c r="E321" s="92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</row>
    <row r="322" spans="1:63" ht="14.25" customHeight="1" x14ac:dyDescent="0.2">
      <c r="A322" s="7"/>
      <c r="B322" s="7"/>
      <c r="C322" s="7"/>
      <c r="D322" s="7"/>
      <c r="E322" s="92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</row>
    <row r="323" spans="1:63" ht="14.25" customHeight="1" x14ac:dyDescent="0.2">
      <c r="A323" s="7"/>
      <c r="B323" s="7"/>
      <c r="C323" s="7"/>
      <c r="D323" s="7"/>
      <c r="E323" s="92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</row>
    <row r="324" spans="1:63" ht="14.25" customHeight="1" x14ac:dyDescent="0.2">
      <c r="A324" s="7"/>
      <c r="B324" s="7"/>
      <c r="C324" s="7"/>
      <c r="D324" s="7"/>
      <c r="E324" s="92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</row>
    <row r="325" spans="1:63" ht="14.25" customHeight="1" x14ac:dyDescent="0.2">
      <c r="A325" s="7"/>
      <c r="B325" s="7"/>
      <c r="C325" s="7"/>
      <c r="D325" s="7"/>
      <c r="E325" s="92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</row>
    <row r="326" spans="1:63" ht="14.25" customHeight="1" x14ac:dyDescent="0.2">
      <c r="A326" s="7"/>
      <c r="B326" s="7"/>
      <c r="C326" s="7"/>
      <c r="D326" s="7"/>
      <c r="E326" s="92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</row>
    <row r="327" spans="1:63" ht="14.25" customHeight="1" x14ac:dyDescent="0.2">
      <c r="A327" s="7"/>
      <c r="B327" s="7"/>
      <c r="C327" s="7"/>
      <c r="D327" s="7"/>
      <c r="E327" s="92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</row>
    <row r="328" spans="1:63" ht="14.25" customHeight="1" x14ac:dyDescent="0.2">
      <c r="A328" s="7"/>
      <c r="B328" s="7"/>
      <c r="C328" s="7"/>
      <c r="D328" s="7"/>
      <c r="E328" s="92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</row>
    <row r="329" spans="1:63" ht="14.25" customHeight="1" x14ac:dyDescent="0.2">
      <c r="A329" s="7"/>
      <c r="B329" s="7"/>
      <c r="C329" s="7"/>
      <c r="D329" s="7"/>
      <c r="E329" s="92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</row>
    <row r="330" spans="1:63" ht="14.25" customHeight="1" x14ac:dyDescent="0.2">
      <c r="A330" s="7"/>
      <c r="B330" s="7"/>
      <c r="C330" s="7"/>
      <c r="D330" s="7"/>
      <c r="E330" s="92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</row>
    <row r="331" spans="1:63" ht="14.25" customHeight="1" x14ac:dyDescent="0.2">
      <c r="A331" s="7"/>
      <c r="B331" s="7"/>
      <c r="C331" s="7"/>
      <c r="D331" s="7"/>
      <c r="E331" s="92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</row>
    <row r="332" spans="1:63" ht="14.25" customHeight="1" x14ac:dyDescent="0.2">
      <c r="A332" s="7"/>
      <c r="B332" s="7"/>
      <c r="C332" s="7"/>
      <c r="D332" s="7"/>
      <c r="E332" s="92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</row>
    <row r="333" spans="1:63" ht="14.25" customHeight="1" x14ac:dyDescent="0.2">
      <c r="A333" s="7"/>
      <c r="B333" s="7"/>
      <c r="C333" s="7"/>
      <c r="D333" s="7"/>
      <c r="E333" s="92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</row>
    <row r="334" spans="1:63" ht="14.25" customHeight="1" x14ac:dyDescent="0.2">
      <c r="A334" s="7"/>
      <c r="B334" s="7"/>
      <c r="C334" s="7"/>
      <c r="D334" s="7"/>
      <c r="E334" s="92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</row>
    <row r="335" spans="1:63" ht="14.25" customHeight="1" x14ac:dyDescent="0.2">
      <c r="A335" s="7"/>
      <c r="B335" s="7"/>
      <c r="C335" s="7"/>
      <c r="D335" s="7"/>
      <c r="E335" s="92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</row>
    <row r="336" spans="1:63" ht="14.25" customHeight="1" x14ac:dyDescent="0.2">
      <c r="A336" s="7"/>
      <c r="B336" s="7"/>
      <c r="C336" s="7"/>
      <c r="D336" s="7"/>
      <c r="E336" s="92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</row>
    <row r="337" spans="1:63" ht="14.25" customHeight="1" x14ac:dyDescent="0.2">
      <c r="A337" s="7"/>
      <c r="B337" s="7"/>
      <c r="C337" s="7"/>
      <c r="D337" s="7"/>
      <c r="E337" s="92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</row>
    <row r="338" spans="1:63" ht="14.25" customHeight="1" x14ac:dyDescent="0.2">
      <c r="A338" s="7"/>
      <c r="B338" s="7"/>
      <c r="C338" s="7"/>
      <c r="D338" s="7"/>
      <c r="E338" s="92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</row>
    <row r="339" spans="1:63" ht="14.25" customHeight="1" x14ac:dyDescent="0.2">
      <c r="A339" s="7"/>
      <c r="B339" s="7"/>
      <c r="C339" s="7"/>
      <c r="D339" s="7"/>
      <c r="E339" s="92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</row>
    <row r="340" spans="1:63" ht="14.25" customHeight="1" x14ac:dyDescent="0.2">
      <c r="A340" s="7"/>
      <c r="B340" s="7"/>
      <c r="C340" s="7"/>
      <c r="D340" s="7"/>
      <c r="E340" s="92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</row>
    <row r="341" spans="1:63" ht="14.25" customHeight="1" x14ac:dyDescent="0.2">
      <c r="A341" s="7"/>
      <c r="B341" s="7"/>
      <c r="C341" s="7"/>
      <c r="D341" s="7"/>
      <c r="E341" s="92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</row>
    <row r="342" spans="1:63" ht="14.25" customHeight="1" x14ac:dyDescent="0.2">
      <c r="A342" s="7"/>
      <c r="B342" s="7"/>
      <c r="C342" s="7"/>
      <c r="D342" s="7"/>
      <c r="E342" s="92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</row>
    <row r="343" spans="1:63" ht="14.25" customHeight="1" x14ac:dyDescent="0.2">
      <c r="A343" s="7"/>
      <c r="B343" s="7"/>
      <c r="C343" s="7"/>
      <c r="D343" s="7"/>
      <c r="E343" s="92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</row>
    <row r="344" spans="1:63" ht="14.25" customHeight="1" x14ac:dyDescent="0.2">
      <c r="A344" s="7"/>
      <c r="B344" s="7"/>
      <c r="C344" s="7"/>
      <c r="D344" s="7"/>
      <c r="E344" s="92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</row>
    <row r="345" spans="1:63" ht="14.25" customHeight="1" x14ac:dyDescent="0.2">
      <c r="A345" s="7"/>
      <c r="B345" s="7"/>
      <c r="C345" s="7"/>
      <c r="D345" s="7"/>
      <c r="E345" s="92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</row>
    <row r="346" spans="1:63" ht="14.25" customHeight="1" x14ac:dyDescent="0.2">
      <c r="A346" s="7"/>
      <c r="B346" s="7"/>
      <c r="C346" s="7"/>
      <c r="D346" s="7"/>
      <c r="E346" s="92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</row>
    <row r="347" spans="1:63" ht="14.25" customHeight="1" x14ac:dyDescent="0.2">
      <c r="A347" s="7"/>
      <c r="B347" s="7"/>
      <c r="C347" s="7"/>
      <c r="D347" s="7"/>
      <c r="E347" s="92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</row>
    <row r="348" spans="1:63" ht="14.25" customHeight="1" x14ac:dyDescent="0.2">
      <c r="A348" s="7"/>
      <c r="B348" s="7"/>
      <c r="C348" s="7"/>
      <c r="D348" s="7"/>
      <c r="E348" s="92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</row>
    <row r="349" spans="1:63" ht="14.25" customHeight="1" x14ac:dyDescent="0.2">
      <c r="A349" s="7"/>
      <c r="B349" s="7"/>
      <c r="C349" s="7"/>
      <c r="D349" s="7"/>
      <c r="E349" s="92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</row>
    <row r="350" spans="1:63" ht="14.25" customHeight="1" x14ac:dyDescent="0.2">
      <c r="A350" s="7"/>
      <c r="B350" s="7"/>
      <c r="C350" s="7"/>
      <c r="D350" s="7"/>
      <c r="E350" s="92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</row>
    <row r="351" spans="1:63" ht="14.25" customHeight="1" x14ac:dyDescent="0.2">
      <c r="A351" s="7"/>
      <c r="B351" s="7"/>
      <c r="C351" s="7"/>
      <c r="D351" s="7"/>
      <c r="E351" s="92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</row>
    <row r="352" spans="1:63" ht="14.25" customHeight="1" x14ac:dyDescent="0.2">
      <c r="A352" s="7"/>
      <c r="B352" s="7"/>
      <c r="C352" s="7"/>
      <c r="D352" s="7"/>
      <c r="E352" s="92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</row>
    <row r="353" spans="1:63" ht="14.25" customHeight="1" x14ac:dyDescent="0.2">
      <c r="A353" s="7"/>
      <c r="B353" s="7"/>
      <c r="C353" s="7"/>
      <c r="D353" s="7"/>
      <c r="E353" s="92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</row>
    <row r="354" spans="1:63" ht="14.25" customHeight="1" x14ac:dyDescent="0.2">
      <c r="A354" s="7"/>
      <c r="B354" s="7"/>
      <c r="C354" s="7"/>
      <c r="D354" s="7"/>
      <c r="E354" s="92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</row>
    <row r="355" spans="1:63" ht="14.25" customHeight="1" x14ac:dyDescent="0.2">
      <c r="A355" s="7"/>
      <c r="B355" s="7"/>
      <c r="C355" s="7"/>
      <c r="D355" s="7"/>
      <c r="E355" s="92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</row>
    <row r="356" spans="1:63" ht="14.25" customHeight="1" x14ac:dyDescent="0.2">
      <c r="A356" s="7"/>
      <c r="B356" s="7"/>
      <c r="C356" s="7"/>
      <c r="D356" s="7"/>
      <c r="E356" s="92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</row>
    <row r="357" spans="1:63" ht="14.25" customHeight="1" x14ac:dyDescent="0.2">
      <c r="A357" s="7"/>
      <c r="B357" s="7"/>
      <c r="C357" s="7"/>
      <c r="D357" s="7"/>
      <c r="E357" s="92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</row>
    <row r="358" spans="1:63" ht="14.25" customHeight="1" x14ac:dyDescent="0.2">
      <c r="A358" s="7"/>
      <c r="B358" s="7"/>
      <c r="C358" s="7"/>
      <c r="D358" s="7"/>
      <c r="E358" s="92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</row>
    <row r="359" spans="1:63" ht="14.25" customHeight="1" x14ac:dyDescent="0.2">
      <c r="A359" s="7"/>
      <c r="B359" s="7"/>
      <c r="C359" s="7"/>
      <c r="D359" s="7"/>
      <c r="E359" s="92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</row>
    <row r="360" spans="1:63" ht="14.25" customHeight="1" x14ac:dyDescent="0.2">
      <c r="A360" s="7"/>
      <c r="B360" s="7"/>
      <c r="C360" s="7"/>
      <c r="D360" s="7"/>
      <c r="E360" s="92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</row>
    <row r="361" spans="1:63" ht="14.25" customHeight="1" x14ac:dyDescent="0.2">
      <c r="A361" s="7"/>
      <c r="B361" s="7"/>
      <c r="C361" s="7"/>
      <c r="D361" s="7"/>
      <c r="E361" s="92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</row>
    <row r="362" spans="1:63" ht="14.25" customHeight="1" x14ac:dyDescent="0.2">
      <c r="A362" s="7"/>
      <c r="B362" s="7"/>
      <c r="C362" s="7"/>
      <c r="D362" s="7"/>
      <c r="E362" s="92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</row>
    <row r="363" spans="1:63" ht="14.25" customHeight="1" x14ac:dyDescent="0.2">
      <c r="A363" s="7"/>
      <c r="B363" s="7"/>
      <c r="C363" s="7"/>
      <c r="D363" s="7"/>
      <c r="E363" s="92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</row>
    <row r="364" spans="1:63" ht="14.25" customHeight="1" x14ac:dyDescent="0.2">
      <c r="A364" s="7"/>
      <c r="B364" s="7"/>
      <c r="C364" s="7"/>
      <c r="D364" s="7"/>
      <c r="E364" s="92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</row>
    <row r="365" spans="1:63" ht="14.25" customHeight="1" x14ac:dyDescent="0.2">
      <c r="A365" s="7"/>
      <c r="B365" s="7"/>
      <c r="C365" s="7"/>
      <c r="D365" s="7"/>
      <c r="E365" s="92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</row>
    <row r="366" spans="1:63" ht="14.25" customHeight="1" x14ac:dyDescent="0.2">
      <c r="A366" s="7"/>
      <c r="B366" s="7"/>
      <c r="C366" s="7"/>
      <c r="D366" s="7"/>
      <c r="E366" s="92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</row>
    <row r="367" spans="1:63" ht="14.25" customHeight="1" x14ac:dyDescent="0.2">
      <c r="A367" s="7"/>
      <c r="B367" s="7"/>
      <c r="C367" s="7"/>
      <c r="D367" s="7"/>
      <c r="E367" s="92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</row>
    <row r="368" spans="1:63" ht="14.25" customHeight="1" x14ac:dyDescent="0.2">
      <c r="A368" s="7"/>
      <c r="B368" s="7"/>
      <c r="C368" s="7"/>
      <c r="D368" s="7"/>
      <c r="E368" s="92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</row>
    <row r="369" spans="1:63" ht="14.25" customHeight="1" x14ac:dyDescent="0.2">
      <c r="A369" s="7"/>
      <c r="B369" s="7"/>
      <c r="C369" s="7"/>
      <c r="D369" s="7"/>
      <c r="E369" s="92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</row>
    <row r="370" spans="1:63" ht="14.25" customHeight="1" x14ac:dyDescent="0.2">
      <c r="A370" s="7"/>
      <c r="B370" s="7"/>
      <c r="C370" s="7"/>
      <c r="D370" s="7"/>
      <c r="E370" s="92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</row>
    <row r="371" spans="1:63" ht="14.25" customHeight="1" x14ac:dyDescent="0.2">
      <c r="A371" s="7"/>
      <c r="B371" s="7"/>
      <c r="C371" s="7"/>
      <c r="D371" s="7"/>
      <c r="E371" s="92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</row>
    <row r="372" spans="1:63" ht="14.25" customHeight="1" x14ac:dyDescent="0.2">
      <c r="A372" s="7"/>
      <c r="B372" s="7"/>
      <c r="C372" s="7"/>
      <c r="D372" s="7"/>
      <c r="E372" s="92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</row>
    <row r="373" spans="1:63" ht="14.25" customHeight="1" x14ac:dyDescent="0.2">
      <c r="A373" s="7"/>
      <c r="B373" s="7"/>
      <c r="C373" s="7"/>
      <c r="D373" s="7"/>
      <c r="E373" s="92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</row>
    <row r="374" spans="1:63" ht="14.25" customHeight="1" x14ac:dyDescent="0.2">
      <c r="A374" s="7"/>
      <c r="B374" s="7"/>
      <c r="C374" s="7"/>
      <c r="D374" s="7"/>
      <c r="E374" s="92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</row>
    <row r="375" spans="1:63" ht="14.25" customHeight="1" x14ac:dyDescent="0.2">
      <c r="A375" s="7"/>
      <c r="B375" s="7"/>
      <c r="C375" s="7"/>
      <c r="D375" s="7"/>
      <c r="E375" s="92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</row>
    <row r="376" spans="1:63" ht="14.25" customHeight="1" x14ac:dyDescent="0.2">
      <c r="A376" s="7"/>
      <c r="B376" s="7"/>
      <c r="C376" s="7"/>
      <c r="D376" s="7"/>
      <c r="E376" s="92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</row>
    <row r="377" spans="1:63" ht="14.25" customHeight="1" x14ac:dyDescent="0.2">
      <c r="A377" s="7"/>
      <c r="B377" s="7"/>
      <c r="C377" s="7"/>
      <c r="D377" s="7"/>
      <c r="E377" s="92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</row>
    <row r="378" spans="1:63" ht="14.25" customHeight="1" x14ac:dyDescent="0.2">
      <c r="A378" s="7"/>
      <c r="B378" s="7"/>
      <c r="C378" s="7"/>
      <c r="D378" s="7"/>
      <c r="E378" s="92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</row>
    <row r="379" spans="1:63" ht="14.25" customHeight="1" x14ac:dyDescent="0.2">
      <c r="A379" s="7"/>
      <c r="B379" s="7"/>
      <c r="C379" s="7"/>
      <c r="D379" s="7"/>
      <c r="E379" s="92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</row>
    <row r="380" spans="1:63" ht="14.25" customHeight="1" x14ac:dyDescent="0.2">
      <c r="A380" s="7"/>
      <c r="B380" s="7"/>
      <c r="C380" s="7"/>
      <c r="D380" s="7"/>
      <c r="E380" s="92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</row>
    <row r="381" spans="1:63" ht="14.25" customHeight="1" x14ac:dyDescent="0.2">
      <c r="A381" s="7"/>
      <c r="B381" s="7"/>
      <c r="C381" s="7"/>
      <c r="D381" s="7"/>
      <c r="E381" s="92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</row>
    <row r="382" spans="1:63" ht="14.25" customHeight="1" x14ac:dyDescent="0.2">
      <c r="A382" s="7"/>
      <c r="B382" s="7"/>
      <c r="C382" s="7"/>
      <c r="D382" s="7"/>
      <c r="E382" s="92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</row>
    <row r="383" spans="1:63" ht="14.25" customHeight="1" x14ac:dyDescent="0.2">
      <c r="A383" s="7"/>
      <c r="B383" s="7"/>
      <c r="C383" s="7"/>
      <c r="D383" s="7"/>
      <c r="E383" s="92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</row>
    <row r="384" spans="1:63" ht="14.25" customHeight="1" x14ac:dyDescent="0.2">
      <c r="A384" s="7"/>
      <c r="B384" s="7"/>
      <c r="C384" s="7"/>
      <c r="D384" s="7"/>
      <c r="E384" s="92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</row>
    <row r="385" spans="1:63" ht="14.25" customHeight="1" x14ac:dyDescent="0.2">
      <c r="A385" s="7"/>
      <c r="B385" s="7"/>
      <c r="C385" s="7"/>
      <c r="D385" s="7"/>
      <c r="E385" s="92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</row>
    <row r="386" spans="1:63" ht="14.25" customHeight="1" x14ac:dyDescent="0.2">
      <c r="A386" s="7"/>
      <c r="B386" s="7"/>
      <c r="C386" s="7"/>
      <c r="D386" s="7"/>
      <c r="E386" s="92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</row>
    <row r="387" spans="1:63" ht="14.25" customHeight="1" x14ac:dyDescent="0.2">
      <c r="A387" s="7"/>
      <c r="B387" s="7"/>
      <c r="C387" s="7"/>
      <c r="D387" s="7"/>
      <c r="E387" s="92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</row>
    <row r="388" spans="1:63" ht="14.25" customHeight="1" x14ac:dyDescent="0.2">
      <c r="A388" s="7"/>
      <c r="B388" s="7"/>
      <c r="C388" s="7"/>
      <c r="D388" s="7"/>
      <c r="E388" s="92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</row>
    <row r="389" spans="1:63" ht="14.25" customHeight="1" x14ac:dyDescent="0.2">
      <c r="A389" s="7"/>
      <c r="B389" s="7"/>
      <c r="C389" s="7"/>
      <c r="D389" s="7"/>
      <c r="E389" s="92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</row>
    <row r="390" spans="1:63" ht="14.25" customHeight="1" x14ac:dyDescent="0.2">
      <c r="A390" s="7"/>
      <c r="B390" s="7"/>
      <c r="C390" s="7"/>
      <c r="D390" s="7"/>
      <c r="E390" s="92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</row>
    <row r="391" spans="1:63" ht="14.25" customHeight="1" x14ac:dyDescent="0.2">
      <c r="A391" s="7"/>
      <c r="B391" s="7"/>
      <c r="C391" s="7"/>
      <c r="D391" s="7"/>
      <c r="E391" s="92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</row>
    <row r="392" spans="1:63" ht="14.25" customHeight="1" x14ac:dyDescent="0.2">
      <c r="A392" s="7"/>
      <c r="B392" s="7"/>
      <c r="C392" s="7"/>
      <c r="D392" s="7"/>
      <c r="E392" s="92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</row>
    <row r="393" spans="1:63" ht="14.25" customHeight="1" x14ac:dyDescent="0.2">
      <c r="A393" s="7"/>
      <c r="B393" s="7"/>
      <c r="C393" s="7"/>
      <c r="D393" s="7"/>
      <c r="E393" s="92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</row>
    <row r="394" spans="1:63" ht="14.25" customHeight="1" x14ac:dyDescent="0.2">
      <c r="A394" s="7"/>
      <c r="B394" s="7"/>
      <c r="C394" s="7"/>
      <c r="D394" s="7"/>
      <c r="E394" s="92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</row>
    <row r="395" spans="1:63" ht="14.25" customHeight="1" x14ac:dyDescent="0.2">
      <c r="A395" s="7"/>
      <c r="B395" s="7"/>
      <c r="C395" s="7"/>
      <c r="D395" s="7"/>
      <c r="E395" s="92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</row>
    <row r="396" spans="1:63" ht="14.25" customHeight="1" x14ac:dyDescent="0.2">
      <c r="A396" s="7"/>
      <c r="B396" s="7"/>
      <c r="C396" s="7"/>
      <c r="D396" s="7"/>
      <c r="E396" s="92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</row>
    <row r="397" spans="1:63" ht="14.25" customHeight="1" x14ac:dyDescent="0.2">
      <c r="A397" s="7"/>
      <c r="B397" s="7"/>
      <c r="C397" s="7"/>
      <c r="D397" s="7"/>
      <c r="E397" s="92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</row>
    <row r="398" spans="1:63" ht="14.25" customHeight="1" x14ac:dyDescent="0.2">
      <c r="A398" s="7"/>
      <c r="B398" s="7"/>
      <c r="C398" s="7"/>
      <c r="D398" s="7"/>
      <c r="E398" s="92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</row>
    <row r="399" spans="1:63" ht="14.25" customHeight="1" x14ac:dyDescent="0.2">
      <c r="A399" s="7"/>
      <c r="B399" s="7"/>
      <c r="C399" s="7"/>
      <c r="D399" s="7"/>
      <c r="E399" s="92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</row>
    <row r="400" spans="1:63" ht="14.25" customHeight="1" x14ac:dyDescent="0.2">
      <c r="A400" s="7"/>
      <c r="B400" s="7"/>
      <c r="C400" s="7"/>
      <c r="D400" s="7"/>
      <c r="E400" s="92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</row>
    <row r="401" spans="1:63" ht="14.25" customHeight="1" x14ac:dyDescent="0.2">
      <c r="A401" s="7"/>
      <c r="B401" s="7"/>
      <c r="C401" s="7"/>
      <c r="D401" s="7"/>
      <c r="E401" s="92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</row>
    <row r="402" spans="1:63" ht="14.25" customHeight="1" x14ac:dyDescent="0.2">
      <c r="A402" s="7"/>
      <c r="B402" s="7"/>
      <c r="C402" s="7"/>
      <c r="D402" s="7"/>
      <c r="E402" s="92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</row>
    <row r="403" spans="1:63" ht="14.25" customHeight="1" x14ac:dyDescent="0.2">
      <c r="A403" s="7"/>
      <c r="B403" s="7"/>
      <c r="C403" s="7"/>
      <c r="D403" s="7"/>
      <c r="E403" s="92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</row>
    <row r="404" spans="1:63" ht="14.25" customHeight="1" x14ac:dyDescent="0.2">
      <c r="A404" s="7"/>
      <c r="B404" s="7"/>
      <c r="C404" s="7"/>
      <c r="D404" s="7"/>
      <c r="E404" s="92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</row>
    <row r="405" spans="1:63" ht="14.25" customHeight="1" x14ac:dyDescent="0.2">
      <c r="A405" s="7"/>
      <c r="B405" s="7"/>
      <c r="C405" s="7"/>
      <c r="D405" s="7"/>
      <c r="E405" s="92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</row>
    <row r="406" spans="1:63" ht="14.25" customHeight="1" x14ac:dyDescent="0.2">
      <c r="A406" s="7"/>
      <c r="B406" s="7"/>
      <c r="C406" s="7"/>
      <c r="D406" s="7"/>
      <c r="E406" s="92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</row>
    <row r="407" spans="1:63" ht="14.25" customHeight="1" x14ac:dyDescent="0.2">
      <c r="A407" s="7"/>
      <c r="B407" s="7"/>
      <c r="C407" s="7"/>
      <c r="D407" s="7"/>
      <c r="E407" s="92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</row>
    <row r="408" spans="1:63" ht="14.25" customHeight="1" x14ac:dyDescent="0.2">
      <c r="A408" s="7"/>
      <c r="B408" s="7"/>
      <c r="C408" s="7"/>
      <c r="D408" s="7"/>
      <c r="E408" s="92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</row>
    <row r="409" spans="1:63" ht="14.25" customHeight="1" x14ac:dyDescent="0.2">
      <c r="A409" s="7"/>
      <c r="B409" s="7"/>
      <c r="C409" s="7"/>
      <c r="D409" s="7"/>
      <c r="E409" s="92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</row>
    <row r="410" spans="1:63" ht="14.25" customHeight="1" x14ac:dyDescent="0.2">
      <c r="A410" s="7"/>
      <c r="B410" s="7"/>
      <c r="C410" s="7"/>
      <c r="D410" s="7"/>
      <c r="E410" s="92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</row>
    <row r="411" spans="1:63" ht="14.25" customHeight="1" x14ac:dyDescent="0.2">
      <c r="A411" s="7"/>
      <c r="B411" s="7"/>
      <c r="C411" s="7"/>
      <c r="D411" s="7"/>
      <c r="E411" s="92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</row>
    <row r="412" spans="1:63" ht="14.25" customHeight="1" x14ac:dyDescent="0.2">
      <c r="A412" s="7"/>
      <c r="B412" s="7"/>
      <c r="C412" s="7"/>
      <c r="D412" s="7"/>
      <c r="E412" s="92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</row>
    <row r="413" spans="1:63" ht="14.25" customHeight="1" x14ac:dyDescent="0.2">
      <c r="A413" s="7"/>
      <c r="B413" s="7"/>
      <c r="C413" s="7"/>
      <c r="D413" s="7"/>
      <c r="E413" s="92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</row>
    <row r="414" spans="1:63" ht="14.25" customHeight="1" x14ac:dyDescent="0.2">
      <c r="A414" s="7"/>
      <c r="B414" s="7"/>
      <c r="C414" s="7"/>
      <c r="D414" s="7"/>
      <c r="E414" s="92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</row>
    <row r="415" spans="1:63" ht="14.25" customHeight="1" x14ac:dyDescent="0.2">
      <c r="A415" s="7"/>
      <c r="B415" s="7"/>
      <c r="C415" s="7"/>
      <c r="D415" s="7"/>
      <c r="E415" s="92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</row>
    <row r="416" spans="1:63" ht="14.25" customHeight="1" x14ac:dyDescent="0.2">
      <c r="A416" s="7"/>
      <c r="B416" s="7"/>
      <c r="C416" s="7"/>
      <c r="D416" s="7"/>
      <c r="E416" s="92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</row>
    <row r="417" spans="1:63" ht="14.25" customHeight="1" x14ac:dyDescent="0.2">
      <c r="A417" s="7"/>
      <c r="B417" s="7"/>
      <c r="C417" s="7"/>
      <c r="D417" s="7"/>
      <c r="E417" s="92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</row>
    <row r="418" spans="1:63" ht="14.25" customHeight="1" x14ac:dyDescent="0.2">
      <c r="A418" s="7"/>
      <c r="B418" s="7"/>
      <c r="C418" s="7"/>
      <c r="D418" s="7"/>
      <c r="E418" s="92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</row>
    <row r="419" spans="1:63" ht="14.25" customHeight="1" x14ac:dyDescent="0.2">
      <c r="A419" s="7"/>
      <c r="B419" s="7"/>
      <c r="C419" s="7"/>
      <c r="D419" s="7"/>
      <c r="E419" s="92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</row>
    <row r="420" spans="1:63" ht="14.25" customHeight="1" x14ac:dyDescent="0.2">
      <c r="A420" s="7"/>
      <c r="B420" s="7"/>
      <c r="C420" s="7"/>
      <c r="D420" s="7"/>
      <c r="E420" s="92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</row>
    <row r="421" spans="1:63" ht="14.25" customHeight="1" x14ac:dyDescent="0.2">
      <c r="A421" s="7"/>
      <c r="B421" s="7"/>
      <c r="C421" s="7"/>
      <c r="D421" s="7"/>
      <c r="E421" s="92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</row>
    <row r="422" spans="1:63" ht="14.25" customHeight="1" x14ac:dyDescent="0.2">
      <c r="A422" s="7"/>
      <c r="B422" s="7"/>
      <c r="C422" s="7"/>
      <c r="D422" s="7"/>
      <c r="E422" s="92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</row>
    <row r="423" spans="1:63" ht="14.25" customHeight="1" x14ac:dyDescent="0.2">
      <c r="A423" s="7"/>
      <c r="B423" s="7"/>
      <c r="C423" s="7"/>
      <c r="D423" s="7"/>
      <c r="E423" s="92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</row>
    <row r="424" spans="1:63" ht="14.25" customHeight="1" x14ac:dyDescent="0.2">
      <c r="A424" s="7"/>
      <c r="B424" s="7"/>
      <c r="C424" s="7"/>
      <c r="D424" s="7"/>
      <c r="E424" s="92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</row>
    <row r="425" spans="1:63" ht="14.25" customHeight="1" x14ac:dyDescent="0.2">
      <c r="A425" s="7"/>
      <c r="B425" s="7"/>
      <c r="C425" s="7"/>
      <c r="D425" s="7"/>
      <c r="E425" s="92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</row>
    <row r="426" spans="1:63" ht="14.25" customHeight="1" x14ac:dyDescent="0.2">
      <c r="A426" s="7"/>
      <c r="B426" s="7"/>
      <c r="C426" s="7"/>
      <c r="D426" s="7"/>
      <c r="E426" s="92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</row>
    <row r="427" spans="1:63" ht="14.25" customHeight="1" x14ac:dyDescent="0.2">
      <c r="A427" s="7"/>
      <c r="B427" s="7"/>
      <c r="C427" s="7"/>
      <c r="D427" s="7"/>
      <c r="E427" s="92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</row>
    <row r="428" spans="1:63" ht="14.25" customHeight="1" x14ac:dyDescent="0.2">
      <c r="A428" s="7"/>
      <c r="B428" s="7"/>
      <c r="C428" s="7"/>
      <c r="D428" s="7"/>
      <c r="E428" s="92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</row>
    <row r="429" spans="1:63" ht="14.25" customHeight="1" x14ac:dyDescent="0.2">
      <c r="A429" s="7"/>
      <c r="B429" s="7"/>
      <c r="C429" s="7"/>
      <c r="D429" s="7"/>
      <c r="E429" s="92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</row>
    <row r="430" spans="1:63" ht="14.25" customHeight="1" x14ac:dyDescent="0.2">
      <c r="A430" s="7"/>
      <c r="B430" s="7"/>
      <c r="C430" s="7"/>
      <c r="D430" s="7"/>
      <c r="E430" s="92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</row>
    <row r="431" spans="1:63" ht="14.25" customHeight="1" x14ac:dyDescent="0.2">
      <c r="A431" s="7"/>
      <c r="B431" s="7"/>
      <c r="C431" s="7"/>
      <c r="D431" s="7"/>
      <c r="E431" s="92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</row>
    <row r="432" spans="1:63" ht="14.25" customHeight="1" x14ac:dyDescent="0.2">
      <c r="A432" s="7"/>
      <c r="B432" s="7"/>
      <c r="C432" s="7"/>
      <c r="D432" s="7"/>
      <c r="E432" s="92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</row>
    <row r="433" spans="1:63" ht="14.25" customHeight="1" x14ac:dyDescent="0.2">
      <c r="A433" s="7"/>
      <c r="B433" s="7"/>
      <c r="C433" s="7"/>
      <c r="D433" s="7"/>
      <c r="E433" s="92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</row>
    <row r="434" spans="1:63" ht="14.25" customHeight="1" x14ac:dyDescent="0.2">
      <c r="A434" s="7"/>
      <c r="B434" s="7"/>
      <c r="C434" s="7"/>
      <c r="D434" s="7"/>
      <c r="E434" s="92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</row>
    <row r="435" spans="1:63" ht="14.25" customHeight="1" x14ac:dyDescent="0.2">
      <c r="A435" s="7"/>
      <c r="B435" s="7"/>
      <c r="C435" s="7"/>
      <c r="D435" s="7"/>
      <c r="E435" s="92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</row>
    <row r="436" spans="1:63" ht="14.25" customHeight="1" x14ac:dyDescent="0.2">
      <c r="A436" s="7"/>
      <c r="B436" s="7"/>
      <c r="C436" s="7"/>
      <c r="D436" s="7"/>
      <c r="E436" s="92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</row>
    <row r="437" spans="1:63" ht="14.25" customHeight="1" x14ac:dyDescent="0.2">
      <c r="A437" s="7"/>
      <c r="B437" s="7"/>
      <c r="C437" s="7"/>
      <c r="D437" s="7"/>
      <c r="E437" s="92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</row>
    <row r="438" spans="1:63" ht="14.25" customHeight="1" x14ac:dyDescent="0.2">
      <c r="A438" s="7"/>
      <c r="B438" s="7"/>
      <c r="C438" s="7"/>
      <c r="D438" s="7"/>
      <c r="E438" s="92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</row>
    <row r="439" spans="1:63" ht="14.25" customHeight="1" x14ac:dyDescent="0.2">
      <c r="A439" s="7"/>
      <c r="B439" s="7"/>
      <c r="C439" s="7"/>
      <c r="D439" s="7"/>
      <c r="E439" s="92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</row>
    <row r="440" spans="1:63" ht="14.25" customHeight="1" x14ac:dyDescent="0.2">
      <c r="A440" s="7"/>
      <c r="B440" s="7"/>
      <c r="C440" s="7"/>
      <c r="D440" s="7"/>
      <c r="E440" s="92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</row>
    <row r="441" spans="1:63" ht="14.25" customHeight="1" x14ac:dyDescent="0.2">
      <c r="A441" s="7"/>
      <c r="B441" s="7"/>
      <c r="C441" s="7"/>
      <c r="D441" s="7"/>
      <c r="E441" s="92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</row>
    <row r="442" spans="1:63" ht="14.25" customHeight="1" x14ac:dyDescent="0.2">
      <c r="A442" s="7"/>
      <c r="B442" s="7"/>
      <c r="C442" s="7"/>
      <c r="D442" s="7"/>
      <c r="E442" s="92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</row>
    <row r="443" spans="1:63" ht="14.25" customHeight="1" x14ac:dyDescent="0.2">
      <c r="A443" s="7"/>
      <c r="B443" s="7"/>
      <c r="C443" s="7"/>
      <c r="D443" s="7"/>
      <c r="E443" s="92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</row>
    <row r="444" spans="1:63" ht="14.25" customHeight="1" x14ac:dyDescent="0.2">
      <c r="A444" s="7"/>
      <c r="B444" s="7"/>
      <c r="C444" s="7"/>
      <c r="D444" s="7"/>
      <c r="E444" s="92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</row>
    <row r="445" spans="1:63" ht="14.25" customHeight="1" x14ac:dyDescent="0.2">
      <c r="A445" s="7"/>
      <c r="B445" s="7"/>
      <c r="C445" s="7"/>
      <c r="D445" s="7"/>
      <c r="E445" s="92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</row>
    <row r="446" spans="1:63" ht="14.25" customHeight="1" x14ac:dyDescent="0.2">
      <c r="A446" s="7"/>
      <c r="B446" s="7"/>
      <c r="C446" s="7"/>
      <c r="D446" s="7"/>
      <c r="E446" s="92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</row>
    <row r="447" spans="1:63" ht="14.25" customHeight="1" x14ac:dyDescent="0.2">
      <c r="A447" s="7"/>
      <c r="B447" s="7"/>
      <c r="C447" s="7"/>
      <c r="D447" s="7"/>
      <c r="E447" s="92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</row>
    <row r="448" spans="1:63" ht="14.25" customHeight="1" x14ac:dyDescent="0.2">
      <c r="A448" s="7"/>
      <c r="B448" s="7"/>
      <c r="C448" s="7"/>
      <c r="D448" s="7"/>
      <c r="E448" s="92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</row>
    <row r="449" spans="1:63" ht="14.25" customHeight="1" x14ac:dyDescent="0.2">
      <c r="A449" s="7"/>
      <c r="B449" s="7"/>
      <c r="C449" s="7"/>
      <c r="D449" s="7"/>
      <c r="E449" s="92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</row>
    <row r="450" spans="1:63" ht="14.25" customHeight="1" x14ac:dyDescent="0.2">
      <c r="A450" s="7"/>
      <c r="B450" s="7"/>
      <c r="C450" s="7"/>
      <c r="D450" s="7"/>
      <c r="E450" s="92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</row>
    <row r="451" spans="1:63" ht="14.25" customHeight="1" x14ac:dyDescent="0.2">
      <c r="A451" s="7"/>
      <c r="B451" s="7"/>
      <c r="C451" s="7"/>
      <c r="D451" s="7"/>
      <c r="E451" s="92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</row>
    <row r="452" spans="1:63" ht="14.25" customHeight="1" x14ac:dyDescent="0.2">
      <c r="A452" s="7"/>
      <c r="B452" s="7"/>
      <c r="C452" s="7"/>
      <c r="D452" s="7"/>
      <c r="E452" s="92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</row>
    <row r="453" spans="1:63" ht="14.25" customHeight="1" x14ac:dyDescent="0.2">
      <c r="A453" s="7"/>
      <c r="B453" s="7"/>
      <c r="C453" s="7"/>
      <c r="D453" s="7"/>
      <c r="E453" s="92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</row>
    <row r="454" spans="1:63" ht="14.25" customHeight="1" x14ac:dyDescent="0.2">
      <c r="A454" s="7"/>
      <c r="B454" s="7"/>
      <c r="C454" s="7"/>
      <c r="D454" s="7"/>
      <c r="E454" s="92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</row>
    <row r="455" spans="1:63" ht="14.25" customHeight="1" x14ac:dyDescent="0.2">
      <c r="A455" s="7"/>
      <c r="B455" s="7"/>
      <c r="C455" s="7"/>
      <c r="D455" s="7"/>
      <c r="E455" s="92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</row>
    <row r="456" spans="1:63" ht="14.25" customHeight="1" x14ac:dyDescent="0.2">
      <c r="A456" s="7"/>
      <c r="B456" s="7"/>
      <c r="C456" s="7"/>
      <c r="D456" s="7"/>
      <c r="E456" s="92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</row>
    <row r="457" spans="1:63" ht="14.25" customHeight="1" x14ac:dyDescent="0.2">
      <c r="A457" s="7"/>
      <c r="B457" s="7"/>
      <c r="C457" s="7"/>
      <c r="D457" s="7"/>
      <c r="E457" s="92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</row>
    <row r="458" spans="1:63" ht="14.25" customHeight="1" x14ac:dyDescent="0.2">
      <c r="A458" s="7"/>
      <c r="B458" s="7"/>
      <c r="C458" s="7"/>
      <c r="D458" s="7"/>
      <c r="E458" s="92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</row>
    <row r="459" spans="1:63" ht="14.25" customHeight="1" x14ac:dyDescent="0.2">
      <c r="A459" s="7"/>
      <c r="B459" s="7"/>
      <c r="C459" s="7"/>
      <c r="D459" s="7"/>
      <c r="E459" s="92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</row>
    <row r="460" spans="1:63" ht="14.25" customHeight="1" x14ac:dyDescent="0.2">
      <c r="A460" s="7"/>
      <c r="B460" s="7"/>
      <c r="C460" s="7"/>
      <c r="D460" s="7"/>
      <c r="E460" s="92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</row>
    <row r="461" spans="1:63" ht="14.25" customHeight="1" x14ac:dyDescent="0.2">
      <c r="A461" s="7"/>
      <c r="B461" s="7"/>
      <c r="C461" s="7"/>
      <c r="D461" s="7"/>
      <c r="E461" s="92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</row>
    <row r="462" spans="1:63" ht="14.25" customHeight="1" x14ac:dyDescent="0.2">
      <c r="A462" s="7"/>
      <c r="B462" s="7"/>
      <c r="C462" s="7"/>
      <c r="D462" s="7"/>
      <c r="E462" s="92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</row>
    <row r="463" spans="1:63" ht="14.25" customHeight="1" x14ac:dyDescent="0.2">
      <c r="A463" s="7"/>
      <c r="B463" s="7"/>
      <c r="C463" s="7"/>
      <c r="D463" s="7"/>
      <c r="E463" s="92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</row>
    <row r="464" spans="1:63" ht="14.25" customHeight="1" x14ac:dyDescent="0.2">
      <c r="A464" s="7"/>
      <c r="B464" s="7"/>
      <c r="C464" s="7"/>
      <c r="D464" s="7"/>
      <c r="E464" s="92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</row>
    <row r="465" spans="1:63" ht="14.25" customHeight="1" x14ac:dyDescent="0.2">
      <c r="A465" s="7"/>
      <c r="B465" s="7"/>
      <c r="C465" s="7"/>
      <c r="D465" s="7"/>
      <c r="E465" s="92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</row>
    <row r="466" spans="1:63" ht="14.25" customHeight="1" x14ac:dyDescent="0.2">
      <c r="A466" s="7"/>
      <c r="B466" s="7"/>
      <c r="C466" s="7"/>
      <c r="D466" s="7"/>
      <c r="E466" s="92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</row>
    <row r="467" spans="1:63" ht="14.25" customHeight="1" x14ac:dyDescent="0.2">
      <c r="A467" s="7"/>
      <c r="B467" s="7"/>
      <c r="C467" s="7"/>
      <c r="D467" s="7"/>
      <c r="E467" s="92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</row>
    <row r="468" spans="1:63" ht="14.25" customHeight="1" x14ac:dyDescent="0.2">
      <c r="A468" s="7"/>
      <c r="B468" s="7"/>
      <c r="C468" s="7"/>
      <c r="D468" s="7"/>
      <c r="E468" s="92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</row>
    <row r="469" spans="1:63" ht="14.25" customHeight="1" x14ac:dyDescent="0.2">
      <c r="A469" s="7"/>
      <c r="B469" s="7"/>
      <c r="C469" s="7"/>
      <c r="D469" s="7"/>
      <c r="E469" s="92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</row>
    <row r="470" spans="1:63" ht="14.25" customHeight="1" x14ac:dyDescent="0.2">
      <c r="A470" s="7"/>
      <c r="B470" s="7"/>
      <c r="C470" s="7"/>
      <c r="D470" s="7"/>
      <c r="E470" s="92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</row>
    <row r="471" spans="1:63" ht="14.25" customHeight="1" x14ac:dyDescent="0.2">
      <c r="A471" s="7"/>
      <c r="B471" s="7"/>
      <c r="C471" s="7"/>
      <c r="D471" s="7"/>
      <c r="E471" s="92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</row>
    <row r="472" spans="1:63" ht="14.25" customHeight="1" x14ac:dyDescent="0.2">
      <c r="A472" s="7"/>
      <c r="B472" s="7"/>
      <c r="C472" s="7"/>
      <c r="D472" s="7"/>
      <c r="E472" s="92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</row>
    <row r="473" spans="1:63" ht="14.25" customHeight="1" x14ac:dyDescent="0.2">
      <c r="A473" s="7"/>
      <c r="B473" s="7"/>
      <c r="C473" s="7"/>
      <c r="D473" s="7"/>
      <c r="E473" s="92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</row>
    <row r="474" spans="1:63" ht="14.25" customHeight="1" x14ac:dyDescent="0.2">
      <c r="A474" s="7"/>
      <c r="B474" s="7"/>
      <c r="C474" s="7"/>
      <c r="D474" s="7"/>
      <c r="E474" s="92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</row>
    <row r="475" spans="1:63" ht="14.25" customHeight="1" x14ac:dyDescent="0.2">
      <c r="A475" s="7"/>
      <c r="B475" s="7"/>
      <c r="C475" s="7"/>
      <c r="D475" s="7"/>
      <c r="E475" s="92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</row>
    <row r="476" spans="1:63" ht="14.25" customHeight="1" x14ac:dyDescent="0.2">
      <c r="A476" s="7"/>
      <c r="B476" s="7"/>
      <c r="C476" s="7"/>
      <c r="D476" s="7"/>
      <c r="E476" s="92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</row>
    <row r="477" spans="1:63" ht="14.25" customHeight="1" x14ac:dyDescent="0.2">
      <c r="A477" s="7"/>
      <c r="B477" s="7"/>
      <c r="C477" s="7"/>
      <c r="D477" s="7"/>
      <c r="E477" s="92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</row>
    <row r="478" spans="1:63" ht="14.25" customHeight="1" x14ac:dyDescent="0.2">
      <c r="A478" s="7"/>
      <c r="B478" s="7"/>
      <c r="C478" s="7"/>
      <c r="D478" s="7"/>
      <c r="E478" s="92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</row>
    <row r="479" spans="1:63" ht="14.25" customHeight="1" x14ac:dyDescent="0.2">
      <c r="A479" s="7"/>
      <c r="B479" s="7"/>
      <c r="C479" s="7"/>
      <c r="D479" s="7"/>
      <c r="E479" s="92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</row>
    <row r="480" spans="1:63" ht="14.25" customHeight="1" x14ac:dyDescent="0.2">
      <c r="A480" s="7"/>
      <c r="B480" s="7"/>
      <c r="C480" s="7"/>
      <c r="D480" s="7"/>
      <c r="E480" s="92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</row>
    <row r="481" spans="1:63" ht="14.25" customHeight="1" x14ac:dyDescent="0.2">
      <c r="A481" s="7"/>
      <c r="B481" s="7"/>
      <c r="C481" s="7"/>
      <c r="D481" s="7"/>
      <c r="E481" s="92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</row>
    <row r="482" spans="1:63" ht="14.25" customHeight="1" x14ac:dyDescent="0.2">
      <c r="A482" s="7"/>
      <c r="B482" s="7"/>
      <c r="C482" s="7"/>
      <c r="D482" s="7"/>
      <c r="E482" s="92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</row>
    <row r="483" spans="1:63" ht="14.25" customHeight="1" x14ac:dyDescent="0.2">
      <c r="A483" s="7"/>
      <c r="B483" s="7"/>
      <c r="C483" s="7"/>
      <c r="D483" s="7"/>
      <c r="E483" s="92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</row>
    <row r="484" spans="1:63" ht="14.25" customHeight="1" x14ac:dyDescent="0.2">
      <c r="A484" s="7"/>
      <c r="B484" s="7"/>
      <c r="C484" s="7"/>
      <c r="D484" s="7"/>
      <c r="E484" s="92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</row>
    <row r="485" spans="1:63" ht="14.25" customHeight="1" x14ac:dyDescent="0.2">
      <c r="A485" s="7"/>
      <c r="B485" s="7"/>
      <c r="C485" s="7"/>
      <c r="D485" s="7"/>
      <c r="E485" s="92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</row>
    <row r="486" spans="1:63" ht="14.25" customHeight="1" x14ac:dyDescent="0.2">
      <c r="A486" s="7"/>
      <c r="B486" s="7"/>
      <c r="C486" s="7"/>
      <c r="D486" s="7"/>
      <c r="E486" s="92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</row>
    <row r="487" spans="1:63" ht="14.25" customHeight="1" x14ac:dyDescent="0.2">
      <c r="A487" s="7"/>
      <c r="B487" s="7"/>
      <c r="C487" s="7"/>
      <c r="D487" s="7"/>
      <c r="E487" s="92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</row>
    <row r="488" spans="1:63" ht="14.25" customHeight="1" x14ac:dyDescent="0.2">
      <c r="A488" s="7"/>
      <c r="B488" s="7"/>
      <c r="C488" s="7"/>
      <c r="D488" s="7"/>
      <c r="E488" s="92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</row>
    <row r="489" spans="1:63" ht="14.25" customHeight="1" x14ac:dyDescent="0.2">
      <c r="A489" s="7"/>
      <c r="B489" s="7"/>
      <c r="C489" s="7"/>
      <c r="D489" s="7"/>
      <c r="E489" s="92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</row>
    <row r="490" spans="1:63" ht="14.25" customHeight="1" x14ac:dyDescent="0.2">
      <c r="A490" s="7"/>
      <c r="B490" s="7"/>
      <c r="C490" s="7"/>
      <c r="D490" s="7"/>
      <c r="E490" s="92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</row>
    <row r="491" spans="1:63" ht="14.25" customHeight="1" x14ac:dyDescent="0.2">
      <c r="A491" s="7"/>
      <c r="B491" s="7"/>
      <c r="C491" s="7"/>
      <c r="D491" s="7"/>
      <c r="E491" s="92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</row>
    <row r="492" spans="1:63" ht="14.25" customHeight="1" x14ac:dyDescent="0.2">
      <c r="A492" s="7"/>
      <c r="B492" s="7"/>
      <c r="C492" s="7"/>
      <c r="D492" s="7"/>
      <c r="E492" s="92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</row>
    <row r="493" spans="1:63" ht="14.25" customHeight="1" x14ac:dyDescent="0.2">
      <c r="A493" s="7"/>
      <c r="B493" s="7"/>
      <c r="C493" s="7"/>
      <c r="D493" s="7"/>
      <c r="E493" s="92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</row>
    <row r="494" spans="1:63" ht="14.25" customHeight="1" x14ac:dyDescent="0.2">
      <c r="A494" s="7"/>
      <c r="B494" s="7"/>
      <c r="C494" s="7"/>
      <c r="D494" s="7"/>
      <c r="E494" s="92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</row>
    <row r="495" spans="1:63" ht="14.25" customHeight="1" x14ac:dyDescent="0.2">
      <c r="A495" s="7"/>
      <c r="B495" s="7"/>
      <c r="C495" s="7"/>
      <c r="D495" s="7"/>
      <c r="E495" s="92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</row>
    <row r="496" spans="1:63" ht="14.25" customHeight="1" x14ac:dyDescent="0.2">
      <c r="A496" s="7"/>
      <c r="B496" s="7"/>
      <c r="C496" s="7"/>
      <c r="D496" s="7"/>
      <c r="E496" s="92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</row>
    <row r="497" spans="1:63" ht="14.25" customHeight="1" x14ac:dyDescent="0.2">
      <c r="A497" s="7"/>
      <c r="B497" s="7"/>
      <c r="C497" s="7"/>
      <c r="D497" s="7"/>
      <c r="E497" s="92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</row>
    <row r="498" spans="1:63" ht="14.25" customHeight="1" x14ac:dyDescent="0.2">
      <c r="A498" s="7"/>
      <c r="B498" s="7"/>
      <c r="C498" s="7"/>
      <c r="D498" s="7"/>
      <c r="E498" s="92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</row>
    <row r="499" spans="1:63" ht="14.25" customHeight="1" x14ac:dyDescent="0.2">
      <c r="A499" s="7"/>
      <c r="B499" s="7"/>
      <c r="C499" s="7"/>
      <c r="D499" s="7"/>
      <c r="E499" s="92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</row>
    <row r="500" spans="1:63" ht="14.25" customHeight="1" x14ac:dyDescent="0.2">
      <c r="A500" s="7"/>
      <c r="B500" s="7"/>
      <c r="C500" s="7"/>
      <c r="D500" s="7"/>
      <c r="E500" s="92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</row>
    <row r="501" spans="1:63" ht="14.25" customHeight="1" x14ac:dyDescent="0.2">
      <c r="A501" s="7"/>
      <c r="B501" s="7"/>
      <c r="C501" s="7"/>
      <c r="D501" s="7"/>
      <c r="E501" s="92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</row>
    <row r="502" spans="1:63" ht="14.25" customHeight="1" x14ac:dyDescent="0.2">
      <c r="A502" s="7"/>
      <c r="B502" s="7"/>
      <c r="C502" s="7"/>
      <c r="D502" s="7"/>
      <c r="E502" s="92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</row>
    <row r="503" spans="1:63" ht="14.25" customHeight="1" x14ac:dyDescent="0.2">
      <c r="A503" s="7"/>
      <c r="B503" s="7"/>
      <c r="C503" s="7"/>
      <c r="D503" s="7"/>
      <c r="E503" s="92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</row>
    <row r="504" spans="1:63" ht="14.25" customHeight="1" x14ac:dyDescent="0.2">
      <c r="A504" s="7"/>
      <c r="B504" s="7"/>
      <c r="C504" s="7"/>
      <c r="D504" s="7"/>
      <c r="E504" s="92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</row>
    <row r="505" spans="1:63" ht="14.25" customHeight="1" x14ac:dyDescent="0.2">
      <c r="A505" s="7"/>
      <c r="B505" s="7"/>
      <c r="C505" s="7"/>
      <c r="D505" s="7"/>
      <c r="E505" s="92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</row>
    <row r="506" spans="1:63" ht="14.25" customHeight="1" x14ac:dyDescent="0.2">
      <c r="A506" s="7"/>
      <c r="B506" s="7"/>
      <c r="C506" s="7"/>
      <c r="D506" s="7"/>
      <c r="E506" s="92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</row>
    <row r="507" spans="1:63" ht="14.25" customHeight="1" x14ac:dyDescent="0.2">
      <c r="A507" s="7"/>
      <c r="B507" s="7"/>
      <c r="C507" s="7"/>
      <c r="D507" s="7"/>
      <c r="E507" s="92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</row>
    <row r="508" spans="1:63" ht="14.25" customHeight="1" x14ac:dyDescent="0.2">
      <c r="A508" s="7"/>
      <c r="B508" s="7"/>
      <c r="C508" s="7"/>
      <c r="D508" s="7"/>
      <c r="E508" s="92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</row>
    <row r="509" spans="1:63" ht="14.25" customHeight="1" x14ac:dyDescent="0.2">
      <c r="A509" s="7"/>
      <c r="B509" s="7"/>
      <c r="C509" s="7"/>
      <c r="D509" s="7"/>
      <c r="E509" s="92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</row>
    <row r="510" spans="1:63" ht="14.25" customHeight="1" x14ac:dyDescent="0.2">
      <c r="A510" s="7"/>
      <c r="B510" s="7"/>
      <c r="C510" s="7"/>
      <c r="D510" s="7"/>
      <c r="E510" s="92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</row>
    <row r="511" spans="1:63" ht="14.25" customHeight="1" x14ac:dyDescent="0.2">
      <c r="A511" s="7"/>
      <c r="B511" s="7"/>
      <c r="C511" s="7"/>
      <c r="D511" s="7"/>
      <c r="E511" s="92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</row>
    <row r="512" spans="1:63" ht="14.25" customHeight="1" x14ac:dyDescent="0.2">
      <c r="A512" s="7"/>
      <c r="B512" s="7"/>
      <c r="C512" s="7"/>
      <c r="D512" s="7"/>
      <c r="E512" s="92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</row>
    <row r="513" spans="1:63" ht="14.25" customHeight="1" x14ac:dyDescent="0.2">
      <c r="A513" s="7"/>
      <c r="B513" s="7"/>
      <c r="C513" s="7"/>
      <c r="D513" s="7"/>
      <c r="E513" s="92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</row>
    <row r="514" spans="1:63" ht="14.25" customHeight="1" x14ac:dyDescent="0.2">
      <c r="A514" s="7"/>
      <c r="B514" s="7"/>
      <c r="C514" s="7"/>
      <c r="D514" s="7"/>
      <c r="E514" s="92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</row>
    <row r="515" spans="1:63" ht="14.25" customHeight="1" x14ac:dyDescent="0.2">
      <c r="A515" s="7"/>
      <c r="B515" s="7"/>
      <c r="C515" s="7"/>
      <c r="D515" s="7"/>
      <c r="E515" s="92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</row>
    <row r="516" spans="1:63" ht="14.25" customHeight="1" x14ac:dyDescent="0.2">
      <c r="A516" s="7"/>
      <c r="B516" s="7"/>
      <c r="C516" s="7"/>
      <c r="D516" s="7"/>
      <c r="E516" s="92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</row>
    <row r="517" spans="1:63" ht="14.25" customHeight="1" x14ac:dyDescent="0.2">
      <c r="A517" s="7"/>
      <c r="B517" s="7"/>
      <c r="C517" s="7"/>
      <c r="D517" s="7"/>
      <c r="E517" s="92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</row>
    <row r="518" spans="1:63" ht="14.25" customHeight="1" x14ac:dyDescent="0.2">
      <c r="A518" s="7"/>
      <c r="B518" s="7"/>
      <c r="C518" s="7"/>
      <c r="D518" s="7"/>
      <c r="E518" s="92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</row>
    <row r="519" spans="1:63" ht="14.25" customHeight="1" x14ac:dyDescent="0.2">
      <c r="A519" s="7"/>
      <c r="B519" s="7"/>
      <c r="C519" s="7"/>
      <c r="D519" s="7"/>
      <c r="E519" s="92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</row>
    <row r="520" spans="1:63" ht="14.25" customHeight="1" x14ac:dyDescent="0.2">
      <c r="A520" s="7"/>
      <c r="B520" s="7"/>
      <c r="C520" s="7"/>
      <c r="D520" s="7"/>
      <c r="E520" s="92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</row>
    <row r="521" spans="1:63" ht="14.25" customHeight="1" x14ac:dyDescent="0.2">
      <c r="A521" s="7"/>
      <c r="B521" s="7"/>
      <c r="C521" s="7"/>
      <c r="D521" s="7"/>
      <c r="E521" s="92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</row>
    <row r="522" spans="1:63" ht="14.25" customHeight="1" x14ac:dyDescent="0.2">
      <c r="A522" s="7"/>
      <c r="B522" s="7"/>
      <c r="C522" s="7"/>
      <c r="D522" s="7"/>
      <c r="E522" s="92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</row>
    <row r="523" spans="1:63" ht="14.25" customHeight="1" x14ac:dyDescent="0.2">
      <c r="A523" s="7"/>
      <c r="B523" s="7"/>
      <c r="C523" s="7"/>
      <c r="D523" s="7"/>
      <c r="E523" s="92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</row>
    <row r="524" spans="1:63" ht="14.25" customHeight="1" x14ac:dyDescent="0.2">
      <c r="A524" s="7"/>
      <c r="B524" s="7"/>
      <c r="C524" s="7"/>
      <c r="D524" s="7"/>
      <c r="E524" s="92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</row>
    <row r="525" spans="1:63" ht="14.25" customHeight="1" x14ac:dyDescent="0.2">
      <c r="A525" s="7"/>
      <c r="B525" s="7"/>
      <c r="C525" s="7"/>
      <c r="D525" s="7"/>
      <c r="E525" s="92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</row>
    <row r="526" spans="1:63" ht="14.25" customHeight="1" x14ac:dyDescent="0.2">
      <c r="A526" s="7"/>
      <c r="B526" s="7"/>
      <c r="C526" s="7"/>
      <c r="D526" s="7"/>
      <c r="E526" s="92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</row>
    <row r="527" spans="1:63" ht="14.25" customHeight="1" x14ac:dyDescent="0.2">
      <c r="A527" s="7"/>
      <c r="B527" s="7"/>
      <c r="C527" s="7"/>
      <c r="D527" s="7"/>
      <c r="E527" s="92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</row>
    <row r="528" spans="1:63" ht="14.25" customHeight="1" x14ac:dyDescent="0.2">
      <c r="A528" s="7"/>
      <c r="B528" s="7"/>
      <c r="C528" s="7"/>
      <c r="D528" s="7"/>
      <c r="E528" s="92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</row>
    <row r="529" spans="1:63" ht="14.25" customHeight="1" x14ac:dyDescent="0.2">
      <c r="A529" s="7"/>
      <c r="B529" s="7"/>
      <c r="C529" s="7"/>
      <c r="D529" s="7"/>
      <c r="E529" s="92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</row>
    <row r="530" spans="1:63" ht="14.25" customHeight="1" x14ac:dyDescent="0.2">
      <c r="A530" s="7"/>
      <c r="B530" s="7"/>
      <c r="C530" s="7"/>
      <c r="D530" s="7"/>
      <c r="E530" s="92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</row>
    <row r="531" spans="1:63" ht="14.25" customHeight="1" x14ac:dyDescent="0.2">
      <c r="A531" s="7"/>
      <c r="B531" s="7"/>
      <c r="C531" s="7"/>
      <c r="D531" s="7"/>
      <c r="E531" s="92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</row>
    <row r="532" spans="1:63" ht="14.25" customHeight="1" x14ac:dyDescent="0.2">
      <c r="A532" s="7"/>
      <c r="B532" s="7"/>
      <c r="C532" s="7"/>
      <c r="D532" s="7"/>
      <c r="E532" s="92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</row>
    <row r="533" spans="1:63" ht="14.25" customHeight="1" x14ac:dyDescent="0.2">
      <c r="A533" s="7"/>
      <c r="B533" s="7"/>
      <c r="C533" s="7"/>
      <c r="D533" s="7"/>
      <c r="E533" s="92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</row>
    <row r="534" spans="1:63" ht="14.25" customHeight="1" x14ac:dyDescent="0.2">
      <c r="A534" s="7"/>
      <c r="B534" s="7"/>
      <c r="C534" s="7"/>
      <c r="D534" s="7"/>
      <c r="E534" s="92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</row>
    <row r="535" spans="1:63" ht="14.25" customHeight="1" x14ac:dyDescent="0.2">
      <c r="A535" s="7"/>
      <c r="B535" s="7"/>
      <c r="C535" s="7"/>
      <c r="D535" s="7"/>
      <c r="E535" s="92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</row>
    <row r="536" spans="1:63" ht="14.25" customHeight="1" x14ac:dyDescent="0.2">
      <c r="A536" s="7"/>
      <c r="B536" s="7"/>
      <c r="C536" s="7"/>
      <c r="D536" s="7"/>
      <c r="E536" s="92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</row>
    <row r="537" spans="1:63" ht="14.25" customHeight="1" x14ac:dyDescent="0.2">
      <c r="A537" s="7"/>
      <c r="B537" s="7"/>
      <c r="C537" s="7"/>
      <c r="D537" s="7"/>
      <c r="E537" s="92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</row>
    <row r="538" spans="1:63" ht="14.25" customHeight="1" x14ac:dyDescent="0.2">
      <c r="A538" s="7"/>
      <c r="B538" s="7"/>
      <c r="C538" s="7"/>
      <c r="D538" s="7"/>
      <c r="E538" s="92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</row>
    <row r="539" spans="1:63" ht="14.25" customHeight="1" x14ac:dyDescent="0.2">
      <c r="A539" s="7"/>
      <c r="B539" s="7"/>
      <c r="C539" s="7"/>
      <c r="D539" s="7"/>
      <c r="E539" s="92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</row>
    <row r="540" spans="1:63" ht="14.25" customHeight="1" x14ac:dyDescent="0.2">
      <c r="A540" s="7"/>
      <c r="B540" s="7"/>
      <c r="C540" s="7"/>
      <c r="D540" s="7"/>
      <c r="E540" s="92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</row>
    <row r="541" spans="1:63" ht="14.25" customHeight="1" x14ac:dyDescent="0.2">
      <c r="A541" s="7"/>
      <c r="B541" s="7"/>
      <c r="C541" s="7"/>
      <c r="D541" s="7"/>
      <c r="E541" s="92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</row>
    <row r="542" spans="1:63" ht="14.25" customHeight="1" x14ac:dyDescent="0.2">
      <c r="A542" s="7"/>
      <c r="B542" s="7"/>
      <c r="C542" s="7"/>
      <c r="D542" s="7"/>
      <c r="E542" s="92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</row>
    <row r="543" spans="1:63" ht="14.25" customHeight="1" x14ac:dyDescent="0.2">
      <c r="A543" s="7"/>
      <c r="B543" s="7"/>
      <c r="C543" s="7"/>
      <c r="D543" s="7"/>
      <c r="E543" s="92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</row>
    <row r="544" spans="1:63" ht="14.25" customHeight="1" x14ac:dyDescent="0.2">
      <c r="A544" s="7"/>
      <c r="B544" s="7"/>
      <c r="C544" s="7"/>
      <c r="D544" s="7"/>
      <c r="E544" s="92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</row>
    <row r="545" spans="1:63" ht="14.25" customHeight="1" x14ac:dyDescent="0.2">
      <c r="A545" s="7"/>
      <c r="B545" s="7"/>
      <c r="C545" s="7"/>
      <c r="D545" s="7"/>
      <c r="E545" s="92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</row>
    <row r="546" spans="1:63" ht="14.25" customHeight="1" x14ac:dyDescent="0.2">
      <c r="A546" s="7"/>
      <c r="B546" s="7"/>
      <c r="C546" s="7"/>
      <c r="D546" s="7"/>
      <c r="E546" s="92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</row>
    <row r="547" spans="1:63" ht="14.25" customHeight="1" x14ac:dyDescent="0.2">
      <c r="A547" s="7"/>
      <c r="B547" s="7"/>
      <c r="C547" s="7"/>
      <c r="D547" s="7"/>
      <c r="E547" s="92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</row>
    <row r="548" spans="1:63" ht="14.25" customHeight="1" x14ac:dyDescent="0.2">
      <c r="A548" s="7"/>
      <c r="B548" s="7"/>
      <c r="C548" s="7"/>
      <c r="D548" s="7"/>
      <c r="E548" s="92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</row>
    <row r="549" spans="1:63" ht="14.25" customHeight="1" x14ac:dyDescent="0.2">
      <c r="A549" s="7"/>
      <c r="B549" s="7"/>
      <c r="C549" s="7"/>
      <c r="D549" s="7"/>
      <c r="E549" s="92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</row>
    <row r="550" spans="1:63" ht="14.25" customHeight="1" x14ac:dyDescent="0.2">
      <c r="A550" s="7"/>
      <c r="B550" s="7"/>
      <c r="C550" s="7"/>
      <c r="D550" s="7"/>
      <c r="E550" s="92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</row>
    <row r="551" spans="1:63" ht="14.25" customHeight="1" x14ac:dyDescent="0.2">
      <c r="A551" s="7"/>
      <c r="B551" s="7"/>
      <c r="C551" s="7"/>
      <c r="D551" s="7"/>
      <c r="E551" s="92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</row>
    <row r="552" spans="1:63" ht="14.25" customHeight="1" x14ac:dyDescent="0.2">
      <c r="A552" s="7"/>
      <c r="B552" s="7"/>
      <c r="C552" s="7"/>
      <c r="D552" s="7"/>
      <c r="E552" s="92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</row>
    <row r="553" spans="1:63" ht="14.25" customHeight="1" x14ac:dyDescent="0.2">
      <c r="A553" s="7"/>
      <c r="B553" s="7"/>
      <c r="C553" s="7"/>
      <c r="D553" s="7"/>
      <c r="E553" s="92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</row>
    <row r="554" spans="1:63" ht="14.25" customHeight="1" x14ac:dyDescent="0.2">
      <c r="A554" s="7"/>
      <c r="B554" s="7"/>
      <c r="C554" s="7"/>
      <c r="D554" s="7"/>
      <c r="E554" s="92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</row>
    <row r="555" spans="1:63" ht="14.25" customHeight="1" x14ac:dyDescent="0.2">
      <c r="A555" s="7"/>
      <c r="B555" s="7"/>
      <c r="C555" s="7"/>
      <c r="D555" s="7"/>
      <c r="E555" s="92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</row>
    <row r="556" spans="1:63" ht="14.25" customHeight="1" x14ac:dyDescent="0.2">
      <c r="A556" s="7"/>
      <c r="B556" s="7"/>
      <c r="C556" s="7"/>
      <c r="D556" s="7"/>
      <c r="E556" s="92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</row>
    <row r="557" spans="1:63" ht="14.25" customHeight="1" x14ac:dyDescent="0.2">
      <c r="A557" s="7"/>
      <c r="B557" s="7"/>
      <c r="C557" s="7"/>
      <c r="D557" s="7"/>
      <c r="E557" s="92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</row>
    <row r="558" spans="1:63" ht="14.25" customHeight="1" x14ac:dyDescent="0.2">
      <c r="A558" s="7"/>
      <c r="B558" s="7"/>
      <c r="C558" s="7"/>
      <c r="D558" s="7"/>
      <c r="E558" s="92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</row>
    <row r="559" spans="1:63" ht="14.25" customHeight="1" x14ac:dyDescent="0.2">
      <c r="A559" s="7"/>
      <c r="B559" s="7"/>
      <c r="C559" s="7"/>
      <c r="D559" s="7"/>
      <c r="E559" s="92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</row>
    <row r="560" spans="1:63" ht="14.25" customHeight="1" x14ac:dyDescent="0.2">
      <c r="A560" s="7"/>
      <c r="B560" s="7"/>
      <c r="C560" s="7"/>
      <c r="D560" s="7"/>
      <c r="E560" s="92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</row>
    <row r="561" spans="1:63" ht="14.25" customHeight="1" x14ac:dyDescent="0.2">
      <c r="A561" s="7"/>
      <c r="B561" s="7"/>
      <c r="C561" s="7"/>
      <c r="D561" s="7"/>
      <c r="E561" s="92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</row>
    <row r="562" spans="1:63" ht="14.25" customHeight="1" x14ac:dyDescent="0.2">
      <c r="A562" s="7"/>
      <c r="B562" s="7"/>
      <c r="C562" s="7"/>
      <c r="D562" s="7"/>
      <c r="E562" s="92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</row>
    <row r="563" spans="1:63" ht="14.25" customHeight="1" x14ac:dyDescent="0.2">
      <c r="A563" s="7"/>
      <c r="B563" s="7"/>
      <c r="C563" s="7"/>
      <c r="D563" s="7"/>
      <c r="E563" s="92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</row>
    <row r="564" spans="1:63" ht="14.25" customHeight="1" x14ac:dyDescent="0.2">
      <c r="A564" s="7"/>
      <c r="B564" s="7"/>
      <c r="C564" s="7"/>
      <c r="D564" s="7"/>
      <c r="E564" s="92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</row>
    <row r="565" spans="1:63" ht="14.25" customHeight="1" x14ac:dyDescent="0.2">
      <c r="A565" s="7"/>
      <c r="B565" s="7"/>
      <c r="C565" s="7"/>
      <c r="D565" s="7"/>
      <c r="E565" s="92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</row>
    <row r="566" spans="1:63" ht="14.25" customHeight="1" x14ac:dyDescent="0.2">
      <c r="A566" s="7"/>
      <c r="B566" s="7"/>
      <c r="C566" s="7"/>
      <c r="D566" s="7"/>
      <c r="E566" s="92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</row>
    <row r="567" spans="1:63" ht="14.25" customHeight="1" x14ac:dyDescent="0.2">
      <c r="A567" s="7"/>
      <c r="B567" s="7"/>
      <c r="C567" s="7"/>
      <c r="D567" s="7"/>
      <c r="E567" s="92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</row>
    <row r="568" spans="1:63" ht="14.25" customHeight="1" x14ac:dyDescent="0.2">
      <c r="A568" s="7"/>
      <c r="B568" s="7"/>
      <c r="C568" s="7"/>
      <c r="D568" s="7"/>
      <c r="E568" s="92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</row>
    <row r="569" spans="1:63" ht="14.25" customHeight="1" x14ac:dyDescent="0.2">
      <c r="A569" s="7"/>
      <c r="B569" s="7"/>
      <c r="C569" s="7"/>
      <c r="D569" s="7"/>
      <c r="E569" s="92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</row>
    <row r="570" spans="1:63" ht="14.25" customHeight="1" x14ac:dyDescent="0.2">
      <c r="A570" s="7"/>
      <c r="B570" s="7"/>
      <c r="C570" s="7"/>
      <c r="D570" s="7"/>
      <c r="E570" s="92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</row>
    <row r="571" spans="1:63" ht="14.25" customHeight="1" x14ac:dyDescent="0.2">
      <c r="A571" s="7"/>
      <c r="B571" s="7"/>
      <c r="C571" s="7"/>
      <c r="D571" s="7"/>
      <c r="E571" s="92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</row>
    <row r="572" spans="1:63" ht="14.25" customHeight="1" x14ac:dyDescent="0.2">
      <c r="A572" s="7"/>
      <c r="B572" s="7"/>
      <c r="C572" s="7"/>
      <c r="D572" s="7"/>
      <c r="E572" s="92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</row>
    <row r="573" spans="1:63" ht="14.25" customHeight="1" x14ac:dyDescent="0.2">
      <c r="A573" s="7"/>
      <c r="B573" s="7"/>
      <c r="C573" s="7"/>
      <c r="D573" s="7"/>
      <c r="E573" s="92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</row>
    <row r="574" spans="1:63" ht="14.25" customHeight="1" x14ac:dyDescent="0.2">
      <c r="A574" s="7"/>
      <c r="B574" s="7"/>
      <c r="C574" s="7"/>
      <c r="D574" s="7"/>
      <c r="E574" s="92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</row>
    <row r="575" spans="1:63" ht="14.25" customHeight="1" x14ac:dyDescent="0.2">
      <c r="A575" s="7"/>
      <c r="B575" s="7"/>
      <c r="C575" s="7"/>
      <c r="D575" s="7"/>
      <c r="E575" s="92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</row>
    <row r="576" spans="1:63" ht="14.25" customHeight="1" x14ac:dyDescent="0.2">
      <c r="A576" s="7"/>
      <c r="B576" s="7"/>
      <c r="C576" s="7"/>
      <c r="D576" s="7"/>
      <c r="E576" s="92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</row>
    <row r="577" spans="1:63" ht="14.25" customHeight="1" x14ac:dyDescent="0.2">
      <c r="A577" s="7"/>
      <c r="B577" s="7"/>
      <c r="C577" s="7"/>
      <c r="D577" s="7"/>
      <c r="E577" s="92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</row>
    <row r="578" spans="1:63" ht="14.25" customHeight="1" x14ac:dyDescent="0.2">
      <c r="A578" s="7"/>
      <c r="B578" s="7"/>
      <c r="C578" s="7"/>
      <c r="D578" s="7"/>
      <c r="E578" s="92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</row>
    <row r="579" spans="1:63" ht="14.25" customHeight="1" x14ac:dyDescent="0.2">
      <c r="A579" s="7"/>
      <c r="B579" s="7"/>
      <c r="C579" s="7"/>
      <c r="D579" s="7"/>
      <c r="E579" s="92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</row>
    <row r="580" spans="1:63" ht="14.25" customHeight="1" x14ac:dyDescent="0.2">
      <c r="A580" s="7"/>
      <c r="B580" s="7"/>
      <c r="C580" s="7"/>
      <c r="D580" s="7"/>
      <c r="E580" s="92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</row>
    <row r="581" spans="1:63" ht="14.25" customHeight="1" x14ac:dyDescent="0.2">
      <c r="A581" s="7"/>
      <c r="B581" s="7"/>
      <c r="C581" s="7"/>
      <c r="D581" s="7"/>
      <c r="E581" s="92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</row>
    <row r="582" spans="1:63" ht="14.25" customHeight="1" x14ac:dyDescent="0.2">
      <c r="A582" s="7"/>
      <c r="B582" s="7"/>
      <c r="C582" s="7"/>
      <c r="D582" s="7"/>
      <c r="E582" s="92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</row>
    <row r="583" spans="1:63" ht="14.25" customHeight="1" x14ac:dyDescent="0.2">
      <c r="A583" s="7"/>
      <c r="B583" s="7"/>
      <c r="C583" s="7"/>
      <c r="D583" s="7"/>
      <c r="E583" s="92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</row>
    <row r="584" spans="1:63" ht="14.25" customHeight="1" x14ac:dyDescent="0.2">
      <c r="A584" s="7"/>
      <c r="B584" s="7"/>
      <c r="C584" s="7"/>
      <c r="D584" s="7"/>
      <c r="E584" s="92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</row>
    <row r="585" spans="1:63" ht="14.25" customHeight="1" x14ac:dyDescent="0.2">
      <c r="A585" s="7"/>
      <c r="B585" s="7"/>
      <c r="C585" s="7"/>
      <c r="D585" s="7"/>
      <c r="E585" s="92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</row>
    <row r="586" spans="1:63" ht="14.25" customHeight="1" x14ac:dyDescent="0.2">
      <c r="A586" s="7"/>
      <c r="B586" s="7"/>
      <c r="C586" s="7"/>
      <c r="D586" s="7"/>
      <c r="E586" s="92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</row>
    <row r="587" spans="1:63" ht="14.25" customHeight="1" x14ac:dyDescent="0.2">
      <c r="A587" s="7"/>
      <c r="B587" s="7"/>
      <c r="C587" s="7"/>
      <c r="D587" s="7"/>
      <c r="E587" s="92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</row>
    <row r="588" spans="1:63" ht="14.25" customHeight="1" x14ac:dyDescent="0.2">
      <c r="A588" s="7"/>
      <c r="B588" s="7"/>
      <c r="C588" s="7"/>
      <c r="D588" s="7"/>
      <c r="E588" s="92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</row>
    <row r="589" spans="1:63" ht="14.25" customHeight="1" x14ac:dyDescent="0.2">
      <c r="A589" s="7"/>
      <c r="B589" s="7"/>
      <c r="C589" s="7"/>
      <c r="D589" s="7"/>
      <c r="E589" s="92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</row>
    <row r="590" spans="1:63" ht="14.25" customHeight="1" x14ac:dyDescent="0.2">
      <c r="A590" s="7"/>
      <c r="B590" s="7"/>
      <c r="C590" s="7"/>
      <c r="D590" s="7"/>
      <c r="E590" s="92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</row>
    <row r="591" spans="1:63" ht="14.25" customHeight="1" x14ac:dyDescent="0.2">
      <c r="A591" s="7"/>
      <c r="B591" s="7"/>
      <c r="C591" s="7"/>
      <c r="D591" s="7"/>
      <c r="E591" s="92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</row>
    <row r="592" spans="1:63" ht="14.25" customHeight="1" x14ac:dyDescent="0.2">
      <c r="A592" s="7"/>
      <c r="B592" s="7"/>
      <c r="C592" s="7"/>
      <c r="D592" s="7"/>
      <c r="E592" s="92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</row>
    <row r="593" spans="1:63" ht="14.25" customHeight="1" x14ac:dyDescent="0.2">
      <c r="A593" s="7"/>
      <c r="B593" s="7"/>
      <c r="C593" s="7"/>
      <c r="D593" s="7"/>
      <c r="E593" s="92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</row>
    <row r="594" spans="1:63" ht="14.25" customHeight="1" x14ac:dyDescent="0.2">
      <c r="A594" s="7"/>
      <c r="B594" s="7"/>
      <c r="C594" s="7"/>
      <c r="D594" s="7"/>
      <c r="E594" s="92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</row>
    <row r="595" spans="1:63" ht="14.25" customHeight="1" x14ac:dyDescent="0.2">
      <c r="A595" s="7"/>
      <c r="B595" s="7"/>
      <c r="C595" s="7"/>
      <c r="D595" s="7"/>
      <c r="E595" s="92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</row>
    <row r="596" spans="1:63" ht="14.25" customHeight="1" x14ac:dyDescent="0.2">
      <c r="A596" s="7"/>
      <c r="B596" s="7"/>
      <c r="C596" s="7"/>
      <c r="D596" s="7"/>
      <c r="E596" s="92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</row>
    <row r="597" spans="1:63" ht="14.25" customHeight="1" x14ac:dyDescent="0.2">
      <c r="A597" s="7"/>
      <c r="B597" s="7"/>
      <c r="C597" s="7"/>
      <c r="D597" s="7"/>
      <c r="E597" s="92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</row>
    <row r="598" spans="1:63" ht="14.25" customHeight="1" x14ac:dyDescent="0.2">
      <c r="A598" s="7"/>
      <c r="B598" s="7"/>
      <c r="C598" s="7"/>
      <c r="D598" s="7"/>
      <c r="E598" s="92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</row>
    <row r="599" spans="1:63" ht="14.25" customHeight="1" x14ac:dyDescent="0.2">
      <c r="A599" s="7"/>
      <c r="B599" s="7"/>
      <c r="C599" s="7"/>
      <c r="D599" s="7"/>
      <c r="E599" s="92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</row>
    <row r="600" spans="1:63" ht="14.25" customHeight="1" x14ac:dyDescent="0.2">
      <c r="A600" s="7"/>
      <c r="B600" s="7"/>
      <c r="C600" s="7"/>
      <c r="D600" s="7"/>
      <c r="E600" s="92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</row>
    <row r="601" spans="1:63" ht="14.25" customHeight="1" x14ac:dyDescent="0.2">
      <c r="A601" s="7"/>
      <c r="B601" s="7"/>
      <c r="C601" s="7"/>
      <c r="D601" s="7"/>
      <c r="E601" s="92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</row>
    <row r="602" spans="1:63" ht="14.25" customHeight="1" x14ac:dyDescent="0.2">
      <c r="A602" s="7"/>
      <c r="B602" s="7"/>
      <c r="C602" s="7"/>
      <c r="D602" s="7"/>
      <c r="E602" s="92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</row>
    <row r="603" spans="1:63" ht="14.25" customHeight="1" x14ac:dyDescent="0.2">
      <c r="A603" s="7"/>
      <c r="B603" s="7"/>
      <c r="C603" s="7"/>
      <c r="D603" s="7"/>
      <c r="E603" s="92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</row>
    <row r="604" spans="1:63" ht="14.25" customHeight="1" x14ac:dyDescent="0.2">
      <c r="A604" s="7"/>
      <c r="B604" s="7"/>
      <c r="C604" s="7"/>
      <c r="D604" s="7"/>
      <c r="E604" s="92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</row>
    <row r="605" spans="1:63" ht="14.25" customHeight="1" x14ac:dyDescent="0.2">
      <c r="A605" s="7"/>
      <c r="B605" s="7"/>
      <c r="C605" s="7"/>
      <c r="D605" s="7"/>
      <c r="E605" s="92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</row>
    <row r="606" spans="1:63" ht="14.25" customHeight="1" x14ac:dyDescent="0.2">
      <c r="A606" s="7"/>
      <c r="B606" s="7"/>
      <c r="C606" s="7"/>
      <c r="D606" s="7"/>
      <c r="E606" s="92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</row>
    <row r="607" spans="1:63" ht="14.25" customHeight="1" x14ac:dyDescent="0.2">
      <c r="A607" s="7"/>
      <c r="B607" s="7"/>
      <c r="C607" s="7"/>
      <c r="D607" s="7"/>
      <c r="E607" s="92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</row>
    <row r="608" spans="1:63" ht="14.25" customHeight="1" x14ac:dyDescent="0.2">
      <c r="A608" s="7"/>
      <c r="B608" s="7"/>
      <c r="C608" s="7"/>
      <c r="D608" s="7"/>
      <c r="E608" s="92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</row>
    <row r="609" spans="1:63" ht="14.25" customHeight="1" x14ac:dyDescent="0.2">
      <c r="A609" s="7"/>
      <c r="B609" s="7"/>
      <c r="C609" s="7"/>
      <c r="D609" s="7"/>
      <c r="E609" s="92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</row>
    <row r="610" spans="1:63" ht="14.25" customHeight="1" x14ac:dyDescent="0.2">
      <c r="A610" s="7"/>
      <c r="B610" s="7"/>
      <c r="C610" s="7"/>
      <c r="D610" s="7"/>
      <c r="E610" s="92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</row>
    <row r="611" spans="1:63" ht="14.25" customHeight="1" x14ac:dyDescent="0.2">
      <c r="A611" s="7"/>
      <c r="B611" s="7"/>
      <c r="C611" s="7"/>
      <c r="D611" s="7"/>
      <c r="E611" s="92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</row>
    <row r="612" spans="1:63" ht="14.25" customHeight="1" x14ac:dyDescent="0.2">
      <c r="A612" s="7"/>
      <c r="B612" s="7"/>
      <c r="C612" s="7"/>
      <c r="D612" s="7"/>
      <c r="E612" s="92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</row>
    <row r="613" spans="1:63" ht="14.25" customHeight="1" x14ac:dyDescent="0.2">
      <c r="A613" s="7"/>
      <c r="B613" s="7"/>
      <c r="C613" s="7"/>
      <c r="D613" s="7"/>
      <c r="E613" s="92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</row>
    <row r="614" spans="1:63" ht="14.25" customHeight="1" x14ac:dyDescent="0.2">
      <c r="A614" s="7"/>
      <c r="B614" s="7"/>
      <c r="C614" s="7"/>
      <c r="D614" s="7"/>
      <c r="E614" s="92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</row>
    <row r="615" spans="1:63" ht="14.25" customHeight="1" x14ac:dyDescent="0.2">
      <c r="A615" s="7"/>
      <c r="B615" s="7"/>
      <c r="C615" s="7"/>
      <c r="D615" s="7"/>
      <c r="E615" s="92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</row>
    <row r="616" spans="1:63" ht="14.25" customHeight="1" x14ac:dyDescent="0.2">
      <c r="A616" s="7"/>
      <c r="B616" s="7"/>
      <c r="C616" s="7"/>
      <c r="D616" s="7"/>
      <c r="E616" s="92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</row>
    <row r="617" spans="1:63" ht="14.25" customHeight="1" x14ac:dyDescent="0.2">
      <c r="A617" s="7"/>
      <c r="B617" s="7"/>
      <c r="C617" s="7"/>
      <c r="D617" s="7"/>
      <c r="E617" s="92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</row>
    <row r="618" spans="1:63" ht="14.25" customHeight="1" x14ac:dyDescent="0.2">
      <c r="A618" s="7"/>
      <c r="B618" s="7"/>
      <c r="C618" s="7"/>
      <c r="D618" s="7"/>
      <c r="E618" s="92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</row>
    <row r="619" spans="1:63" ht="14.25" customHeight="1" x14ac:dyDescent="0.2">
      <c r="A619" s="7"/>
      <c r="B619" s="7"/>
      <c r="C619" s="7"/>
      <c r="D619" s="7"/>
      <c r="E619" s="92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</row>
    <row r="620" spans="1:63" ht="14.25" customHeight="1" x14ac:dyDescent="0.2">
      <c r="A620" s="7"/>
      <c r="B620" s="7"/>
      <c r="C620" s="7"/>
      <c r="D620" s="7"/>
      <c r="E620" s="92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</row>
    <row r="621" spans="1:63" ht="14.25" customHeight="1" x14ac:dyDescent="0.2">
      <c r="A621" s="7"/>
      <c r="B621" s="7"/>
      <c r="C621" s="7"/>
      <c r="D621" s="7"/>
      <c r="E621" s="92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</row>
    <row r="622" spans="1:63" ht="14.25" customHeight="1" x14ac:dyDescent="0.2">
      <c r="A622" s="7"/>
      <c r="B622" s="7"/>
      <c r="C622" s="7"/>
      <c r="D622" s="7"/>
      <c r="E622" s="92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</row>
    <row r="623" spans="1:63" ht="14.25" customHeight="1" x14ac:dyDescent="0.2">
      <c r="A623" s="7"/>
      <c r="B623" s="7"/>
      <c r="C623" s="7"/>
      <c r="D623" s="7"/>
      <c r="E623" s="92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</row>
    <row r="624" spans="1:63" ht="14.25" customHeight="1" x14ac:dyDescent="0.2">
      <c r="A624" s="7"/>
      <c r="B624" s="7"/>
      <c r="C624" s="7"/>
      <c r="D624" s="7"/>
      <c r="E624" s="92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</row>
    <row r="625" spans="1:63" ht="14.25" customHeight="1" x14ac:dyDescent="0.2">
      <c r="A625" s="7"/>
      <c r="B625" s="7"/>
      <c r="C625" s="7"/>
      <c r="D625" s="7"/>
      <c r="E625" s="92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</row>
    <row r="626" spans="1:63" ht="14.25" customHeight="1" x14ac:dyDescent="0.2">
      <c r="A626" s="7"/>
      <c r="B626" s="7"/>
      <c r="C626" s="7"/>
      <c r="D626" s="7"/>
      <c r="E626" s="92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</row>
    <row r="627" spans="1:63" ht="14.25" customHeight="1" x14ac:dyDescent="0.2">
      <c r="A627" s="7"/>
      <c r="B627" s="7"/>
      <c r="C627" s="7"/>
      <c r="D627" s="7"/>
      <c r="E627" s="92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</row>
    <row r="628" spans="1:63" ht="14.25" customHeight="1" x14ac:dyDescent="0.2">
      <c r="A628" s="7"/>
      <c r="B628" s="7"/>
      <c r="C628" s="7"/>
      <c r="D628" s="7"/>
      <c r="E628" s="92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</row>
    <row r="629" spans="1:63" ht="14.25" customHeight="1" x14ac:dyDescent="0.2">
      <c r="A629" s="7"/>
      <c r="B629" s="7"/>
      <c r="C629" s="7"/>
      <c r="D629" s="7"/>
      <c r="E629" s="92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</row>
    <row r="630" spans="1:63" ht="14.25" customHeight="1" x14ac:dyDescent="0.2">
      <c r="A630" s="7"/>
      <c r="B630" s="7"/>
      <c r="C630" s="7"/>
      <c r="D630" s="7"/>
      <c r="E630" s="92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</row>
    <row r="631" spans="1:63" ht="14.25" customHeight="1" x14ac:dyDescent="0.2">
      <c r="A631" s="7"/>
      <c r="B631" s="7"/>
      <c r="C631" s="7"/>
      <c r="D631" s="7"/>
      <c r="E631" s="92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</row>
    <row r="632" spans="1:63" ht="14.25" customHeight="1" x14ac:dyDescent="0.2">
      <c r="A632" s="7"/>
      <c r="B632" s="7"/>
      <c r="C632" s="7"/>
      <c r="D632" s="7"/>
      <c r="E632" s="92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</row>
    <row r="633" spans="1:63" ht="14.25" customHeight="1" x14ac:dyDescent="0.2">
      <c r="A633" s="7"/>
      <c r="B633" s="7"/>
      <c r="C633" s="7"/>
      <c r="D633" s="7"/>
      <c r="E633" s="92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</row>
    <row r="634" spans="1:63" ht="14.25" customHeight="1" x14ac:dyDescent="0.2">
      <c r="A634" s="7"/>
      <c r="B634" s="7"/>
      <c r="C634" s="7"/>
      <c r="D634" s="7"/>
      <c r="E634" s="92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</row>
    <row r="635" spans="1:63" ht="14.25" customHeight="1" x14ac:dyDescent="0.2">
      <c r="A635" s="7"/>
      <c r="B635" s="7"/>
      <c r="C635" s="7"/>
      <c r="D635" s="7"/>
      <c r="E635" s="92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</row>
    <row r="636" spans="1:63" ht="14.25" customHeight="1" x14ac:dyDescent="0.2">
      <c r="A636" s="7"/>
      <c r="B636" s="7"/>
      <c r="C636" s="7"/>
      <c r="D636" s="7"/>
      <c r="E636" s="92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</row>
    <row r="637" spans="1:63" ht="14.25" customHeight="1" x14ac:dyDescent="0.2">
      <c r="A637" s="7"/>
      <c r="B637" s="7"/>
      <c r="C637" s="7"/>
      <c r="D637" s="7"/>
      <c r="E637" s="92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</row>
    <row r="638" spans="1:63" ht="14.25" customHeight="1" x14ac:dyDescent="0.2">
      <c r="A638" s="7"/>
      <c r="B638" s="7"/>
      <c r="C638" s="7"/>
      <c r="D638" s="7"/>
      <c r="E638" s="92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</row>
    <row r="639" spans="1:63" ht="14.25" customHeight="1" x14ac:dyDescent="0.2">
      <c r="A639" s="7"/>
      <c r="B639" s="7"/>
      <c r="C639" s="7"/>
      <c r="D639" s="7"/>
      <c r="E639" s="92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</row>
    <row r="640" spans="1:63" ht="14.25" customHeight="1" x14ac:dyDescent="0.2">
      <c r="A640" s="7"/>
      <c r="B640" s="7"/>
      <c r="C640" s="7"/>
      <c r="D640" s="7"/>
      <c r="E640" s="92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</row>
    <row r="641" spans="1:63" ht="14.25" customHeight="1" x14ac:dyDescent="0.2">
      <c r="A641" s="7"/>
      <c r="B641" s="7"/>
      <c r="C641" s="7"/>
      <c r="D641" s="7"/>
      <c r="E641" s="92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</row>
    <row r="642" spans="1:63" ht="14.25" customHeight="1" x14ac:dyDescent="0.2">
      <c r="A642" s="7"/>
      <c r="B642" s="7"/>
      <c r="C642" s="7"/>
      <c r="D642" s="7"/>
      <c r="E642" s="92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</row>
    <row r="643" spans="1:63" ht="14.25" customHeight="1" x14ac:dyDescent="0.2">
      <c r="A643" s="7"/>
      <c r="B643" s="7"/>
      <c r="C643" s="7"/>
      <c r="D643" s="7"/>
      <c r="E643" s="92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</row>
    <row r="644" spans="1:63" ht="14.25" customHeight="1" x14ac:dyDescent="0.2">
      <c r="A644" s="7"/>
      <c r="B644" s="7"/>
      <c r="C644" s="7"/>
      <c r="D644" s="7"/>
      <c r="E644" s="92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</row>
    <row r="645" spans="1:63" ht="14.25" customHeight="1" x14ac:dyDescent="0.2">
      <c r="A645" s="7"/>
      <c r="B645" s="7"/>
      <c r="C645" s="7"/>
      <c r="D645" s="7"/>
      <c r="E645" s="92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</row>
    <row r="646" spans="1:63" ht="14.25" customHeight="1" x14ac:dyDescent="0.2">
      <c r="A646" s="7"/>
      <c r="B646" s="7"/>
      <c r="C646" s="7"/>
      <c r="D646" s="7"/>
      <c r="E646" s="92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</row>
    <row r="647" spans="1:63" ht="14.25" customHeight="1" x14ac:dyDescent="0.2">
      <c r="A647" s="7"/>
      <c r="B647" s="7"/>
      <c r="C647" s="7"/>
      <c r="D647" s="7"/>
      <c r="E647" s="92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</row>
    <row r="648" spans="1:63" ht="14.25" customHeight="1" x14ac:dyDescent="0.2">
      <c r="A648" s="7"/>
      <c r="B648" s="7"/>
      <c r="C648" s="7"/>
      <c r="D648" s="7"/>
      <c r="E648" s="92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</row>
    <row r="649" spans="1:63" ht="14.25" customHeight="1" x14ac:dyDescent="0.2">
      <c r="A649" s="7"/>
      <c r="B649" s="7"/>
      <c r="C649" s="7"/>
      <c r="D649" s="7"/>
      <c r="E649" s="92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</row>
    <row r="650" spans="1:63" ht="14.25" customHeight="1" x14ac:dyDescent="0.2">
      <c r="A650" s="7"/>
      <c r="B650" s="7"/>
      <c r="C650" s="7"/>
      <c r="D650" s="7"/>
      <c r="E650" s="92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</row>
    <row r="651" spans="1:63" ht="14.25" customHeight="1" x14ac:dyDescent="0.2">
      <c r="A651" s="7"/>
      <c r="B651" s="7"/>
      <c r="C651" s="7"/>
      <c r="D651" s="7"/>
      <c r="E651" s="92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</row>
    <row r="652" spans="1:63" ht="14.25" customHeight="1" x14ac:dyDescent="0.2">
      <c r="A652" s="7"/>
      <c r="B652" s="7"/>
      <c r="C652" s="7"/>
      <c r="D652" s="7"/>
      <c r="E652" s="92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</row>
    <row r="653" spans="1:63" ht="14.25" customHeight="1" x14ac:dyDescent="0.2">
      <c r="A653" s="7"/>
      <c r="B653" s="7"/>
      <c r="C653" s="7"/>
      <c r="D653" s="7"/>
      <c r="E653" s="92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</row>
    <row r="654" spans="1:63" ht="14.25" customHeight="1" x14ac:dyDescent="0.2">
      <c r="A654" s="7"/>
      <c r="B654" s="7"/>
      <c r="C654" s="7"/>
      <c r="D654" s="7"/>
      <c r="E654" s="92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</row>
    <row r="655" spans="1:63" ht="14.25" customHeight="1" x14ac:dyDescent="0.2">
      <c r="A655" s="7"/>
      <c r="B655" s="7"/>
      <c r="C655" s="7"/>
      <c r="D655" s="7"/>
      <c r="E655" s="92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</row>
    <row r="656" spans="1:63" ht="14.25" customHeight="1" x14ac:dyDescent="0.2">
      <c r="A656" s="7"/>
      <c r="B656" s="7"/>
      <c r="C656" s="7"/>
      <c r="D656" s="7"/>
      <c r="E656" s="92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</row>
    <row r="657" spans="1:63" ht="14.25" customHeight="1" x14ac:dyDescent="0.2">
      <c r="A657" s="7"/>
      <c r="B657" s="7"/>
      <c r="C657" s="7"/>
      <c r="D657" s="7"/>
      <c r="E657" s="92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</row>
    <row r="658" spans="1:63" ht="14.25" customHeight="1" x14ac:dyDescent="0.2">
      <c r="A658" s="7"/>
      <c r="B658" s="7"/>
      <c r="C658" s="7"/>
      <c r="D658" s="7"/>
      <c r="E658" s="92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</row>
    <row r="659" spans="1:63" ht="14.25" customHeight="1" x14ac:dyDescent="0.2">
      <c r="A659" s="7"/>
      <c r="B659" s="7"/>
      <c r="C659" s="7"/>
      <c r="D659" s="7"/>
      <c r="E659" s="92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</row>
    <row r="660" spans="1:63" ht="14.25" customHeight="1" x14ac:dyDescent="0.2">
      <c r="A660" s="7"/>
      <c r="B660" s="7"/>
      <c r="C660" s="7"/>
      <c r="D660" s="7"/>
      <c r="E660" s="92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</row>
    <row r="661" spans="1:63" ht="14.25" customHeight="1" x14ac:dyDescent="0.2">
      <c r="A661" s="7"/>
      <c r="B661" s="7"/>
      <c r="C661" s="7"/>
      <c r="D661" s="7"/>
      <c r="E661" s="92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</row>
    <row r="662" spans="1:63" ht="14.25" customHeight="1" x14ac:dyDescent="0.2">
      <c r="A662" s="7"/>
      <c r="B662" s="7"/>
      <c r="C662" s="7"/>
      <c r="D662" s="7"/>
      <c r="E662" s="92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</row>
    <row r="663" spans="1:63" ht="14.25" customHeight="1" x14ac:dyDescent="0.2">
      <c r="A663" s="7"/>
      <c r="B663" s="7"/>
      <c r="C663" s="7"/>
      <c r="D663" s="7"/>
      <c r="E663" s="92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</row>
    <row r="664" spans="1:63" ht="14.25" customHeight="1" x14ac:dyDescent="0.2">
      <c r="A664" s="7"/>
      <c r="B664" s="7"/>
      <c r="C664" s="7"/>
      <c r="D664" s="7"/>
      <c r="E664" s="92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</row>
    <row r="665" spans="1:63" ht="14.25" customHeight="1" x14ac:dyDescent="0.2">
      <c r="A665" s="7"/>
      <c r="B665" s="7"/>
      <c r="C665" s="7"/>
      <c r="D665" s="7"/>
      <c r="E665" s="92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</row>
    <row r="666" spans="1:63" ht="14.25" customHeight="1" x14ac:dyDescent="0.2">
      <c r="A666" s="7"/>
      <c r="B666" s="7"/>
      <c r="C666" s="7"/>
      <c r="D666" s="7"/>
      <c r="E666" s="92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</row>
    <row r="667" spans="1:63" ht="14.25" customHeight="1" x14ac:dyDescent="0.2">
      <c r="A667" s="7"/>
      <c r="B667" s="7"/>
      <c r="C667" s="7"/>
      <c r="D667" s="7"/>
      <c r="E667" s="92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</row>
    <row r="668" spans="1:63" ht="14.25" customHeight="1" x14ac:dyDescent="0.2">
      <c r="A668" s="7"/>
      <c r="B668" s="7"/>
      <c r="C668" s="7"/>
      <c r="D668" s="7"/>
      <c r="E668" s="92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</row>
    <row r="669" spans="1:63" ht="14.25" customHeight="1" x14ac:dyDescent="0.2">
      <c r="A669" s="7"/>
      <c r="B669" s="7"/>
      <c r="C669" s="7"/>
      <c r="D669" s="7"/>
      <c r="E669" s="92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</row>
    <row r="670" spans="1:63" ht="14.25" customHeight="1" x14ac:dyDescent="0.2">
      <c r="A670" s="7"/>
      <c r="B670" s="7"/>
      <c r="C670" s="7"/>
      <c r="D670" s="7"/>
      <c r="E670" s="92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</row>
    <row r="671" spans="1:63" ht="14.25" customHeight="1" x14ac:dyDescent="0.2">
      <c r="A671" s="7"/>
      <c r="B671" s="7"/>
      <c r="C671" s="7"/>
      <c r="D671" s="7"/>
      <c r="E671" s="92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</row>
    <row r="672" spans="1:63" ht="14.25" customHeight="1" x14ac:dyDescent="0.2">
      <c r="A672" s="7"/>
      <c r="B672" s="7"/>
      <c r="C672" s="7"/>
      <c r="D672" s="7"/>
      <c r="E672" s="92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</row>
    <row r="673" spans="1:63" ht="14.25" customHeight="1" x14ac:dyDescent="0.2">
      <c r="A673" s="7"/>
      <c r="B673" s="7"/>
      <c r="C673" s="7"/>
      <c r="D673" s="7"/>
      <c r="E673" s="92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</row>
    <row r="674" spans="1:63" ht="14.25" customHeight="1" x14ac:dyDescent="0.2">
      <c r="A674" s="7"/>
      <c r="B674" s="7"/>
      <c r="C674" s="7"/>
      <c r="D674" s="7"/>
      <c r="E674" s="92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</row>
    <row r="675" spans="1:63" ht="14.25" customHeight="1" x14ac:dyDescent="0.2">
      <c r="A675" s="7"/>
      <c r="B675" s="7"/>
      <c r="C675" s="7"/>
      <c r="D675" s="7"/>
      <c r="E675" s="92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</row>
    <row r="676" spans="1:63" ht="14.25" customHeight="1" x14ac:dyDescent="0.2">
      <c r="A676" s="7"/>
      <c r="B676" s="7"/>
      <c r="C676" s="7"/>
      <c r="D676" s="7"/>
      <c r="E676" s="92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</row>
    <row r="677" spans="1:63" ht="14.25" customHeight="1" x14ac:dyDescent="0.2">
      <c r="A677" s="7"/>
      <c r="B677" s="7"/>
      <c r="C677" s="7"/>
      <c r="D677" s="7"/>
      <c r="E677" s="92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</row>
    <row r="678" spans="1:63" ht="14.25" customHeight="1" x14ac:dyDescent="0.2">
      <c r="A678" s="7"/>
      <c r="B678" s="7"/>
      <c r="C678" s="7"/>
      <c r="D678" s="7"/>
      <c r="E678" s="92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</row>
    <row r="679" spans="1:63" ht="14.25" customHeight="1" x14ac:dyDescent="0.2">
      <c r="A679" s="7"/>
      <c r="B679" s="7"/>
      <c r="C679" s="7"/>
      <c r="D679" s="7"/>
      <c r="E679" s="92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</row>
    <row r="680" spans="1:63" ht="14.25" customHeight="1" x14ac:dyDescent="0.2">
      <c r="A680" s="7"/>
      <c r="B680" s="7"/>
      <c r="C680" s="7"/>
      <c r="D680" s="7"/>
      <c r="E680" s="92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</row>
    <row r="681" spans="1:63" ht="14.25" customHeight="1" x14ac:dyDescent="0.2">
      <c r="A681" s="7"/>
      <c r="B681" s="7"/>
      <c r="C681" s="7"/>
      <c r="D681" s="7"/>
      <c r="E681" s="92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</row>
    <row r="682" spans="1:63" ht="14.25" customHeight="1" x14ac:dyDescent="0.2">
      <c r="A682" s="7"/>
      <c r="B682" s="7"/>
      <c r="C682" s="7"/>
      <c r="D682" s="7"/>
      <c r="E682" s="92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</row>
    <row r="683" spans="1:63" ht="14.25" customHeight="1" x14ac:dyDescent="0.2">
      <c r="A683" s="7"/>
      <c r="B683" s="7"/>
      <c r="C683" s="7"/>
      <c r="D683" s="7"/>
      <c r="E683" s="92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</row>
    <row r="684" spans="1:63" ht="14.25" customHeight="1" x14ac:dyDescent="0.2">
      <c r="A684" s="7"/>
      <c r="B684" s="7"/>
      <c r="C684" s="7"/>
      <c r="D684" s="7"/>
      <c r="E684" s="92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</row>
    <row r="685" spans="1:63" ht="14.25" customHeight="1" x14ac:dyDescent="0.2">
      <c r="A685" s="7"/>
      <c r="B685" s="7"/>
      <c r="C685" s="7"/>
      <c r="D685" s="7"/>
      <c r="E685" s="92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</row>
    <row r="686" spans="1:63" ht="14.25" customHeight="1" x14ac:dyDescent="0.2">
      <c r="A686" s="7"/>
      <c r="B686" s="7"/>
      <c r="C686" s="7"/>
      <c r="D686" s="7"/>
      <c r="E686" s="92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</row>
    <row r="687" spans="1:63" ht="14.25" customHeight="1" x14ac:dyDescent="0.2">
      <c r="A687" s="7"/>
      <c r="B687" s="7"/>
      <c r="C687" s="7"/>
      <c r="D687" s="7"/>
      <c r="E687" s="92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</row>
    <row r="688" spans="1:63" ht="14.25" customHeight="1" x14ac:dyDescent="0.2">
      <c r="A688" s="7"/>
      <c r="B688" s="7"/>
      <c r="C688" s="7"/>
      <c r="D688" s="7"/>
      <c r="E688" s="92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</row>
    <row r="689" spans="1:63" ht="14.25" customHeight="1" x14ac:dyDescent="0.2">
      <c r="A689" s="7"/>
      <c r="B689" s="7"/>
      <c r="C689" s="7"/>
      <c r="D689" s="7"/>
      <c r="E689" s="92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</row>
    <row r="690" spans="1:63" ht="14.25" customHeight="1" x14ac:dyDescent="0.2">
      <c r="A690" s="7"/>
      <c r="B690" s="7"/>
      <c r="C690" s="7"/>
      <c r="D690" s="7"/>
      <c r="E690" s="92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</row>
    <row r="691" spans="1:63" ht="14.25" customHeight="1" x14ac:dyDescent="0.2">
      <c r="A691" s="7"/>
      <c r="B691" s="7"/>
      <c r="C691" s="7"/>
      <c r="D691" s="7"/>
      <c r="E691" s="92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</row>
    <row r="692" spans="1:63" ht="14.25" customHeight="1" x14ac:dyDescent="0.2">
      <c r="A692" s="7"/>
      <c r="B692" s="7"/>
      <c r="C692" s="7"/>
      <c r="D692" s="7"/>
      <c r="E692" s="92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</row>
    <row r="693" spans="1:63" ht="14.25" customHeight="1" x14ac:dyDescent="0.2">
      <c r="A693" s="7"/>
      <c r="B693" s="7"/>
      <c r="C693" s="7"/>
      <c r="D693" s="7"/>
      <c r="E693" s="92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</row>
    <row r="694" spans="1:63" ht="14.25" customHeight="1" x14ac:dyDescent="0.2">
      <c r="A694" s="7"/>
      <c r="B694" s="7"/>
      <c r="C694" s="7"/>
      <c r="D694" s="7"/>
      <c r="E694" s="92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</row>
    <row r="695" spans="1:63" ht="14.25" customHeight="1" x14ac:dyDescent="0.2">
      <c r="A695" s="7"/>
      <c r="B695" s="7"/>
      <c r="C695" s="7"/>
      <c r="D695" s="7"/>
      <c r="E695" s="92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</row>
    <row r="696" spans="1:63" ht="14.25" customHeight="1" x14ac:dyDescent="0.2">
      <c r="A696" s="7"/>
      <c r="B696" s="7"/>
      <c r="C696" s="7"/>
      <c r="D696" s="7"/>
      <c r="E696" s="92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</row>
    <row r="697" spans="1:63" ht="14.25" customHeight="1" x14ac:dyDescent="0.2">
      <c r="A697" s="7"/>
      <c r="B697" s="7"/>
      <c r="C697" s="7"/>
      <c r="D697" s="7"/>
      <c r="E697" s="92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</row>
    <row r="698" spans="1:63" ht="14.25" customHeight="1" x14ac:dyDescent="0.2">
      <c r="A698" s="7"/>
      <c r="B698" s="7"/>
      <c r="C698" s="7"/>
      <c r="D698" s="7"/>
      <c r="E698" s="92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</row>
    <row r="699" spans="1:63" ht="14.25" customHeight="1" x14ac:dyDescent="0.2">
      <c r="A699" s="7"/>
      <c r="B699" s="7"/>
      <c r="C699" s="7"/>
      <c r="D699" s="7"/>
      <c r="E699" s="92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</row>
    <row r="700" spans="1:63" ht="14.25" customHeight="1" x14ac:dyDescent="0.2">
      <c r="A700" s="7"/>
      <c r="B700" s="7"/>
      <c r="C700" s="7"/>
      <c r="D700" s="7"/>
      <c r="E700" s="92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</row>
    <row r="701" spans="1:63" ht="14.25" customHeight="1" x14ac:dyDescent="0.2">
      <c r="A701" s="7"/>
      <c r="B701" s="7"/>
      <c r="C701" s="7"/>
      <c r="D701" s="7"/>
      <c r="E701" s="92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</row>
    <row r="702" spans="1:63" ht="14.25" customHeight="1" x14ac:dyDescent="0.2">
      <c r="A702" s="7"/>
      <c r="B702" s="7"/>
      <c r="C702" s="7"/>
      <c r="D702" s="7"/>
      <c r="E702" s="92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</row>
    <row r="703" spans="1:63" ht="14.25" customHeight="1" x14ac:dyDescent="0.2">
      <c r="A703" s="7"/>
      <c r="B703" s="7"/>
      <c r="C703" s="7"/>
      <c r="D703" s="7"/>
      <c r="E703" s="92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</row>
    <row r="704" spans="1:63" ht="14.25" customHeight="1" x14ac:dyDescent="0.2">
      <c r="A704" s="7"/>
      <c r="B704" s="7"/>
      <c r="C704" s="7"/>
      <c r="D704" s="7"/>
      <c r="E704" s="92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</row>
    <row r="705" spans="1:63" ht="14.25" customHeight="1" x14ac:dyDescent="0.2">
      <c r="A705" s="7"/>
      <c r="B705" s="7"/>
      <c r="C705" s="7"/>
      <c r="D705" s="7"/>
      <c r="E705" s="92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</row>
    <row r="706" spans="1:63" ht="14.25" customHeight="1" x14ac:dyDescent="0.2">
      <c r="A706" s="7"/>
      <c r="B706" s="7"/>
      <c r="C706" s="7"/>
      <c r="D706" s="7"/>
      <c r="E706" s="92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</row>
    <row r="707" spans="1:63" ht="14.25" customHeight="1" x14ac:dyDescent="0.2">
      <c r="A707" s="7"/>
      <c r="B707" s="7"/>
      <c r="C707" s="7"/>
      <c r="D707" s="7"/>
      <c r="E707" s="92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</row>
    <row r="708" spans="1:63" ht="14.25" customHeight="1" x14ac:dyDescent="0.2">
      <c r="A708" s="7"/>
      <c r="B708" s="7"/>
      <c r="C708" s="7"/>
      <c r="D708" s="7"/>
      <c r="E708" s="92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</row>
    <row r="709" spans="1:63" ht="14.25" customHeight="1" x14ac:dyDescent="0.2">
      <c r="A709" s="7"/>
      <c r="B709" s="7"/>
      <c r="C709" s="7"/>
      <c r="D709" s="7"/>
      <c r="E709" s="92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</row>
    <row r="710" spans="1:63" ht="14.25" customHeight="1" x14ac:dyDescent="0.2">
      <c r="A710" s="7"/>
      <c r="B710" s="7"/>
      <c r="C710" s="7"/>
      <c r="D710" s="7"/>
      <c r="E710" s="92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</row>
    <row r="711" spans="1:63" ht="14.25" customHeight="1" x14ac:dyDescent="0.2">
      <c r="A711" s="7"/>
      <c r="B711" s="7"/>
      <c r="C711" s="7"/>
      <c r="D711" s="7"/>
      <c r="E711" s="92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</row>
    <row r="712" spans="1:63" ht="14.25" customHeight="1" x14ac:dyDescent="0.2">
      <c r="A712" s="7"/>
      <c r="B712" s="7"/>
      <c r="C712" s="7"/>
      <c r="D712" s="7"/>
      <c r="E712" s="92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</row>
    <row r="713" spans="1:63" ht="14.25" customHeight="1" x14ac:dyDescent="0.2">
      <c r="A713" s="7"/>
      <c r="B713" s="7"/>
      <c r="C713" s="7"/>
      <c r="D713" s="7"/>
      <c r="E713" s="92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</row>
    <row r="714" spans="1:63" ht="14.25" customHeight="1" x14ac:dyDescent="0.2">
      <c r="A714" s="7"/>
      <c r="B714" s="7"/>
      <c r="C714" s="7"/>
      <c r="D714" s="7"/>
      <c r="E714" s="92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</row>
    <row r="715" spans="1:63" ht="14.25" customHeight="1" x14ac:dyDescent="0.2">
      <c r="A715" s="7"/>
      <c r="B715" s="7"/>
      <c r="C715" s="7"/>
      <c r="D715" s="7"/>
      <c r="E715" s="92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</row>
    <row r="716" spans="1:63" ht="14.25" customHeight="1" x14ac:dyDescent="0.2">
      <c r="A716" s="7"/>
      <c r="B716" s="7"/>
      <c r="C716" s="7"/>
      <c r="D716" s="7"/>
      <c r="E716" s="92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</row>
    <row r="717" spans="1:63" ht="14.25" customHeight="1" x14ac:dyDescent="0.2">
      <c r="A717" s="7"/>
      <c r="B717" s="7"/>
      <c r="C717" s="7"/>
      <c r="D717" s="7"/>
      <c r="E717" s="92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</row>
    <row r="718" spans="1:63" ht="14.25" customHeight="1" x14ac:dyDescent="0.2">
      <c r="A718" s="7"/>
      <c r="B718" s="7"/>
      <c r="C718" s="7"/>
      <c r="D718" s="7"/>
      <c r="E718" s="92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</row>
    <row r="719" spans="1:63" ht="14.25" customHeight="1" x14ac:dyDescent="0.2">
      <c r="A719" s="7"/>
      <c r="B719" s="7"/>
      <c r="C719" s="7"/>
      <c r="D719" s="7"/>
      <c r="E719" s="92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</row>
    <row r="720" spans="1:63" ht="14.25" customHeight="1" x14ac:dyDescent="0.2">
      <c r="A720" s="7"/>
      <c r="B720" s="7"/>
      <c r="C720" s="7"/>
      <c r="D720" s="7"/>
      <c r="E720" s="92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</row>
    <row r="721" spans="1:63" ht="14.25" customHeight="1" x14ac:dyDescent="0.2">
      <c r="A721" s="7"/>
      <c r="B721" s="7"/>
      <c r="C721" s="7"/>
      <c r="D721" s="7"/>
      <c r="E721" s="92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</row>
    <row r="722" spans="1:63" ht="14.25" customHeight="1" x14ac:dyDescent="0.2">
      <c r="A722" s="7"/>
      <c r="B722" s="7"/>
      <c r="C722" s="7"/>
      <c r="D722" s="7"/>
      <c r="E722" s="92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</row>
    <row r="723" spans="1:63" ht="14.25" customHeight="1" x14ac:dyDescent="0.2">
      <c r="A723" s="7"/>
      <c r="B723" s="7"/>
      <c r="C723" s="7"/>
      <c r="D723" s="7"/>
      <c r="E723" s="92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</row>
    <row r="724" spans="1:63" ht="14.25" customHeight="1" x14ac:dyDescent="0.2">
      <c r="A724" s="7"/>
      <c r="B724" s="7"/>
      <c r="C724" s="7"/>
      <c r="D724" s="7"/>
      <c r="E724" s="92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</row>
    <row r="725" spans="1:63" ht="14.25" customHeight="1" x14ac:dyDescent="0.2">
      <c r="A725" s="7"/>
      <c r="B725" s="7"/>
      <c r="C725" s="7"/>
      <c r="D725" s="7"/>
      <c r="E725" s="92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</row>
    <row r="726" spans="1:63" ht="14.25" customHeight="1" x14ac:dyDescent="0.2">
      <c r="A726" s="7"/>
      <c r="B726" s="7"/>
      <c r="C726" s="7"/>
      <c r="D726" s="7"/>
      <c r="E726" s="92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</row>
    <row r="727" spans="1:63" ht="14.25" customHeight="1" x14ac:dyDescent="0.2">
      <c r="A727" s="7"/>
      <c r="B727" s="7"/>
      <c r="C727" s="7"/>
      <c r="D727" s="7"/>
      <c r="E727" s="92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</row>
    <row r="728" spans="1:63" ht="14.25" customHeight="1" x14ac:dyDescent="0.2">
      <c r="A728" s="7"/>
      <c r="B728" s="7"/>
      <c r="C728" s="7"/>
      <c r="D728" s="7"/>
      <c r="E728" s="92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</row>
    <row r="729" spans="1:63" ht="14.25" customHeight="1" x14ac:dyDescent="0.2">
      <c r="A729" s="7"/>
      <c r="B729" s="7"/>
      <c r="C729" s="7"/>
      <c r="D729" s="7"/>
      <c r="E729" s="92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</row>
    <row r="730" spans="1:63" ht="14.25" customHeight="1" x14ac:dyDescent="0.2">
      <c r="A730" s="7"/>
      <c r="B730" s="7"/>
      <c r="C730" s="7"/>
      <c r="D730" s="7"/>
      <c r="E730" s="92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</row>
    <row r="731" spans="1:63" ht="14.25" customHeight="1" x14ac:dyDescent="0.2">
      <c r="A731" s="7"/>
      <c r="B731" s="7"/>
      <c r="C731" s="7"/>
      <c r="D731" s="7"/>
      <c r="E731" s="92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</row>
    <row r="732" spans="1:63" ht="14.25" customHeight="1" x14ac:dyDescent="0.2">
      <c r="A732" s="7"/>
      <c r="B732" s="7"/>
      <c r="C732" s="7"/>
      <c r="D732" s="7"/>
      <c r="E732" s="92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</row>
    <row r="733" spans="1:63" ht="14.25" customHeight="1" x14ac:dyDescent="0.2">
      <c r="A733" s="7"/>
      <c r="B733" s="7"/>
      <c r="C733" s="7"/>
      <c r="D733" s="7"/>
      <c r="E733" s="92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</row>
    <row r="734" spans="1:63" ht="14.25" customHeight="1" x14ac:dyDescent="0.2">
      <c r="A734" s="7"/>
      <c r="B734" s="7"/>
      <c r="C734" s="7"/>
      <c r="D734" s="7"/>
      <c r="E734" s="92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</row>
    <row r="735" spans="1:63" ht="14.25" customHeight="1" x14ac:dyDescent="0.2">
      <c r="A735" s="7"/>
      <c r="B735" s="7"/>
      <c r="C735" s="7"/>
      <c r="D735" s="7"/>
      <c r="E735" s="92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</row>
    <row r="736" spans="1:63" ht="14.25" customHeight="1" x14ac:dyDescent="0.2">
      <c r="A736" s="7"/>
      <c r="B736" s="7"/>
      <c r="C736" s="7"/>
      <c r="D736" s="7"/>
      <c r="E736" s="92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</row>
    <row r="737" spans="1:63" ht="14.25" customHeight="1" x14ac:dyDescent="0.2">
      <c r="A737" s="7"/>
      <c r="B737" s="7"/>
      <c r="C737" s="7"/>
      <c r="D737" s="7"/>
      <c r="E737" s="92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</row>
    <row r="738" spans="1:63" ht="14.25" customHeight="1" x14ac:dyDescent="0.2">
      <c r="A738" s="7"/>
      <c r="B738" s="7"/>
      <c r="C738" s="7"/>
      <c r="D738" s="7"/>
      <c r="E738" s="92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</row>
    <row r="739" spans="1:63" ht="14.25" customHeight="1" x14ac:dyDescent="0.2">
      <c r="A739" s="7"/>
      <c r="B739" s="7"/>
      <c r="C739" s="7"/>
      <c r="D739" s="7"/>
      <c r="E739" s="92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</row>
    <row r="740" spans="1:63" ht="14.25" customHeight="1" x14ac:dyDescent="0.2">
      <c r="A740" s="7"/>
      <c r="B740" s="7"/>
      <c r="C740" s="7"/>
      <c r="D740" s="7"/>
      <c r="E740" s="92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</row>
    <row r="741" spans="1:63" ht="14.25" customHeight="1" x14ac:dyDescent="0.2">
      <c r="A741" s="7"/>
      <c r="B741" s="7"/>
      <c r="C741" s="7"/>
      <c r="D741" s="7"/>
      <c r="E741" s="92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</row>
    <row r="742" spans="1:63" ht="14.25" customHeight="1" x14ac:dyDescent="0.2">
      <c r="A742" s="7"/>
      <c r="B742" s="7"/>
      <c r="C742" s="7"/>
      <c r="D742" s="7"/>
      <c r="E742" s="92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</row>
    <row r="743" spans="1:63" ht="14.25" customHeight="1" x14ac:dyDescent="0.2">
      <c r="A743" s="7"/>
      <c r="B743" s="7"/>
      <c r="C743" s="7"/>
      <c r="D743" s="7"/>
      <c r="E743" s="92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</row>
    <row r="744" spans="1:63" ht="14.25" customHeight="1" x14ac:dyDescent="0.2">
      <c r="A744" s="7"/>
      <c r="B744" s="7"/>
      <c r="C744" s="7"/>
      <c r="D744" s="7"/>
      <c r="E744" s="92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</row>
    <row r="745" spans="1:63" ht="14.25" customHeight="1" x14ac:dyDescent="0.2">
      <c r="A745" s="7"/>
      <c r="B745" s="7"/>
      <c r="C745" s="7"/>
      <c r="D745" s="7"/>
      <c r="E745" s="92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</row>
    <row r="746" spans="1:63" ht="14.25" customHeight="1" x14ac:dyDescent="0.2">
      <c r="A746" s="7"/>
      <c r="B746" s="7"/>
      <c r="C746" s="7"/>
      <c r="D746" s="7"/>
      <c r="E746" s="92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</row>
    <row r="747" spans="1:63" ht="14.25" customHeight="1" x14ac:dyDescent="0.2">
      <c r="A747" s="7"/>
      <c r="B747" s="7"/>
      <c r="C747" s="7"/>
      <c r="D747" s="7"/>
      <c r="E747" s="92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</row>
    <row r="748" spans="1:63" ht="14.25" customHeight="1" x14ac:dyDescent="0.2">
      <c r="A748" s="7"/>
      <c r="B748" s="7"/>
      <c r="C748" s="7"/>
      <c r="D748" s="7"/>
      <c r="E748" s="92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</row>
    <row r="749" spans="1:63" ht="14.25" customHeight="1" x14ac:dyDescent="0.2">
      <c r="A749" s="7"/>
      <c r="B749" s="7"/>
      <c r="C749" s="7"/>
      <c r="D749" s="7"/>
      <c r="E749" s="92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</row>
    <row r="750" spans="1:63" ht="14.25" customHeight="1" x14ac:dyDescent="0.2">
      <c r="A750" s="7"/>
      <c r="B750" s="7"/>
      <c r="C750" s="7"/>
      <c r="D750" s="7"/>
      <c r="E750" s="92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</row>
    <row r="751" spans="1:63" ht="14.25" customHeight="1" x14ac:dyDescent="0.2">
      <c r="A751" s="7"/>
      <c r="B751" s="7"/>
      <c r="C751" s="7"/>
      <c r="D751" s="7"/>
      <c r="E751" s="92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</row>
    <row r="752" spans="1:63" ht="14.25" customHeight="1" x14ac:dyDescent="0.2">
      <c r="A752" s="7"/>
      <c r="B752" s="7"/>
      <c r="C752" s="7"/>
      <c r="D752" s="7"/>
      <c r="E752" s="92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</row>
    <row r="753" spans="1:63" ht="14.25" customHeight="1" x14ac:dyDescent="0.2">
      <c r="A753" s="7"/>
      <c r="B753" s="7"/>
      <c r="C753" s="7"/>
      <c r="D753" s="7"/>
      <c r="E753" s="92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</row>
    <row r="754" spans="1:63" ht="14.25" customHeight="1" x14ac:dyDescent="0.2">
      <c r="A754" s="7"/>
      <c r="B754" s="7"/>
      <c r="C754" s="7"/>
      <c r="D754" s="7"/>
      <c r="E754" s="92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</row>
    <row r="755" spans="1:63" ht="14.25" customHeight="1" x14ac:dyDescent="0.2">
      <c r="A755" s="7"/>
      <c r="B755" s="7"/>
      <c r="C755" s="7"/>
      <c r="D755" s="7"/>
      <c r="E755" s="92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</row>
    <row r="756" spans="1:63" ht="14.25" customHeight="1" x14ac:dyDescent="0.2">
      <c r="A756" s="7"/>
      <c r="B756" s="7"/>
      <c r="C756" s="7"/>
      <c r="D756" s="7"/>
      <c r="E756" s="92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</row>
    <row r="757" spans="1:63" ht="14.25" customHeight="1" x14ac:dyDescent="0.2">
      <c r="A757" s="7"/>
      <c r="B757" s="7"/>
      <c r="C757" s="7"/>
      <c r="D757" s="7"/>
      <c r="E757" s="92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</row>
    <row r="758" spans="1:63" ht="14.25" customHeight="1" x14ac:dyDescent="0.2">
      <c r="A758" s="7"/>
      <c r="B758" s="7"/>
      <c r="C758" s="7"/>
      <c r="D758" s="7"/>
      <c r="E758" s="92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</row>
    <row r="759" spans="1:63" ht="14.25" customHeight="1" x14ac:dyDescent="0.2">
      <c r="A759" s="7"/>
      <c r="B759" s="7"/>
      <c r="C759" s="7"/>
      <c r="D759" s="7"/>
      <c r="E759" s="92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</row>
    <row r="760" spans="1:63" ht="14.25" customHeight="1" x14ac:dyDescent="0.2">
      <c r="A760" s="7"/>
      <c r="B760" s="7"/>
      <c r="C760" s="7"/>
      <c r="D760" s="7"/>
      <c r="E760" s="92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</row>
    <row r="761" spans="1:63" ht="14.25" customHeight="1" x14ac:dyDescent="0.2">
      <c r="A761" s="7"/>
      <c r="B761" s="7"/>
      <c r="C761" s="7"/>
      <c r="D761" s="7"/>
      <c r="E761" s="92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</row>
    <row r="762" spans="1:63" ht="14.25" customHeight="1" x14ac:dyDescent="0.2">
      <c r="A762" s="7"/>
      <c r="B762" s="7"/>
      <c r="C762" s="7"/>
      <c r="D762" s="7"/>
      <c r="E762" s="92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</row>
    <row r="763" spans="1:63" ht="14.25" customHeight="1" x14ac:dyDescent="0.2">
      <c r="A763" s="7"/>
      <c r="B763" s="7"/>
      <c r="C763" s="7"/>
      <c r="D763" s="7"/>
      <c r="E763" s="92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</row>
    <row r="764" spans="1:63" ht="14.25" customHeight="1" x14ac:dyDescent="0.2">
      <c r="A764" s="7"/>
      <c r="B764" s="7"/>
      <c r="C764" s="7"/>
      <c r="D764" s="7"/>
      <c r="E764" s="92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</row>
    <row r="765" spans="1:63" ht="14.25" customHeight="1" x14ac:dyDescent="0.2">
      <c r="A765" s="7"/>
      <c r="B765" s="7"/>
      <c r="C765" s="7"/>
      <c r="D765" s="7"/>
      <c r="E765" s="92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</row>
    <row r="766" spans="1:63" ht="14.25" customHeight="1" x14ac:dyDescent="0.2">
      <c r="A766" s="7"/>
      <c r="B766" s="7"/>
      <c r="C766" s="7"/>
      <c r="D766" s="7"/>
      <c r="E766" s="92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</row>
    <row r="767" spans="1:63" ht="14.25" customHeight="1" x14ac:dyDescent="0.2">
      <c r="A767" s="7"/>
      <c r="B767" s="7"/>
      <c r="C767" s="7"/>
      <c r="D767" s="7"/>
      <c r="E767" s="92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</row>
    <row r="768" spans="1:63" ht="14.25" customHeight="1" x14ac:dyDescent="0.2">
      <c r="A768" s="7"/>
      <c r="B768" s="7"/>
      <c r="C768" s="7"/>
      <c r="D768" s="7"/>
      <c r="E768" s="92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</row>
    <row r="769" spans="1:63" ht="14.25" customHeight="1" x14ac:dyDescent="0.2">
      <c r="A769" s="7"/>
      <c r="B769" s="7"/>
      <c r="C769" s="7"/>
      <c r="D769" s="7"/>
      <c r="E769" s="92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</row>
    <row r="770" spans="1:63" ht="14.25" customHeight="1" x14ac:dyDescent="0.2">
      <c r="A770" s="7"/>
      <c r="B770" s="7"/>
      <c r="C770" s="7"/>
      <c r="D770" s="7"/>
      <c r="E770" s="92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</row>
    <row r="771" spans="1:63" ht="14.25" customHeight="1" x14ac:dyDescent="0.2">
      <c r="A771" s="7"/>
      <c r="B771" s="7"/>
      <c r="C771" s="7"/>
      <c r="D771" s="7"/>
      <c r="E771" s="92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</row>
    <row r="772" spans="1:63" ht="14.25" customHeight="1" x14ac:dyDescent="0.2">
      <c r="A772" s="7"/>
      <c r="B772" s="7"/>
      <c r="C772" s="7"/>
      <c r="D772" s="7"/>
      <c r="E772" s="92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</row>
    <row r="773" spans="1:63" ht="14.25" customHeight="1" x14ac:dyDescent="0.2">
      <c r="A773" s="7"/>
      <c r="B773" s="7"/>
      <c r="C773" s="7"/>
      <c r="D773" s="7"/>
      <c r="E773" s="92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</row>
    <row r="774" spans="1:63" ht="14.25" customHeight="1" x14ac:dyDescent="0.2">
      <c r="A774" s="7"/>
      <c r="B774" s="7"/>
      <c r="C774" s="7"/>
      <c r="D774" s="7"/>
      <c r="E774" s="92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</row>
    <row r="775" spans="1:63" ht="14.25" customHeight="1" x14ac:dyDescent="0.2">
      <c r="A775" s="7"/>
      <c r="B775" s="7"/>
      <c r="C775" s="7"/>
      <c r="D775" s="7"/>
      <c r="E775" s="92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</row>
    <row r="776" spans="1:63" ht="14.25" customHeight="1" x14ac:dyDescent="0.2">
      <c r="A776" s="7"/>
      <c r="B776" s="7"/>
      <c r="C776" s="7"/>
      <c r="D776" s="7"/>
      <c r="E776" s="92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</row>
    <row r="777" spans="1:63" ht="14.25" customHeight="1" x14ac:dyDescent="0.2">
      <c r="A777" s="7"/>
      <c r="B777" s="7"/>
      <c r="C777" s="7"/>
      <c r="D777" s="7"/>
      <c r="E777" s="92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</row>
    <row r="778" spans="1:63" ht="14.25" customHeight="1" x14ac:dyDescent="0.2">
      <c r="A778" s="7"/>
      <c r="B778" s="7"/>
      <c r="C778" s="7"/>
      <c r="D778" s="7"/>
      <c r="E778" s="92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</row>
    <row r="779" spans="1:63" ht="14.25" customHeight="1" x14ac:dyDescent="0.2">
      <c r="A779" s="7"/>
      <c r="B779" s="7"/>
      <c r="C779" s="7"/>
      <c r="D779" s="7"/>
      <c r="E779" s="92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</row>
    <row r="780" spans="1:63" ht="14.25" customHeight="1" x14ac:dyDescent="0.2">
      <c r="A780" s="7"/>
      <c r="B780" s="7"/>
      <c r="C780" s="7"/>
      <c r="D780" s="7"/>
      <c r="E780" s="92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</row>
    <row r="781" spans="1:63" ht="14.25" customHeight="1" x14ac:dyDescent="0.2">
      <c r="A781" s="7"/>
      <c r="B781" s="7"/>
      <c r="C781" s="7"/>
      <c r="D781" s="7"/>
      <c r="E781" s="92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</row>
    <row r="782" spans="1:63" ht="14.25" customHeight="1" x14ac:dyDescent="0.2">
      <c r="A782" s="7"/>
      <c r="B782" s="7"/>
      <c r="C782" s="7"/>
      <c r="D782" s="7"/>
      <c r="E782" s="92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</row>
    <row r="783" spans="1:63" ht="14.25" customHeight="1" x14ac:dyDescent="0.2">
      <c r="A783" s="7"/>
      <c r="B783" s="7"/>
      <c r="C783" s="7"/>
      <c r="D783" s="7"/>
      <c r="E783" s="92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</row>
    <row r="784" spans="1:63" ht="14.25" customHeight="1" x14ac:dyDescent="0.2">
      <c r="A784" s="7"/>
      <c r="B784" s="7"/>
      <c r="C784" s="7"/>
      <c r="D784" s="7"/>
      <c r="E784" s="92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</row>
    <row r="785" spans="1:63" ht="14.25" customHeight="1" x14ac:dyDescent="0.2">
      <c r="A785" s="7"/>
      <c r="B785" s="7"/>
      <c r="C785" s="7"/>
      <c r="D785" s="7"/>
      <c r="E785" s="92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</row>
    <row r="786" spans="1:63" ht="14.25" customHeight="1" x14ac:dyDescent="0.2">
      <c r="A786" s="7"/>
      <c r="B786" s="7"/>
      <c r="C786" s="7"/>
      <c r="D786" s="7"/>
      <c r="E786" s="92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</row>
    <row r="787" spans="1:63" ht="14.25" customHeight="1" x14ac:dyDescent="0.2">
      <c r="A787" s="7"/>
      <c r="B787" s="7"/>
      <c r="C787" s="7"/>
      <c r="D787" s="7"/>
      <c r="E787" s="92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</row>
    <row r="788" spans="1:63" ht="14.25" customHeight="1" x14ac:dyDescent="0.2">
      <c r="A788" s="7"/>
      <c r="B788" s="7"/>
      <c r="C788" s="7"/>
      <c r="D788" s="7"/>
      <c r="E788" s="92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</row>
    <row r="789" spans="1:63" ht="14.25" customHeight="1" x14ac:dyDescent="0.2">
      <c r="A789" s="7"/>
      <c r="B789" s="7"/>
      <c r="C789" s="7"/>
      <c r="D789" s="7"/>
      <c r="E789" s="92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</row>
    <row r="790" spans="1:63" ht="14.25" customHeight="1" x14ac:dyDescent="0.2">
      <c r="A790" s="7"/>
      <c r="B790" s="7"/>
      <c r="C790" s="7"/>
      <c r="D790" s="7"/>
      <c r="E790" s="92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</row>
    <row r="791" spans="1:63" ht="14.25" customHeight="1" x14ac:dyDescent="0.2">
      <c r="A791" s="7"/>
      <c r="B791" s="7"/>
      <c r="C791" s="7"/>
      <c r="D791" s="7"/>
      <c r="E791" s="92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</row>
    <row r="792" spans="1:63" ht="14.25" customHeight="1" x14ac:dyDescent="0.2">
      <c r="A792" s="7"/>
      <c r="B792" s="7"/>
      <c r="C792" s="7"/>
      <c r="D792" s="7"/>
      <c r="E792" s="92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</row>
    <row r="793" spans="1:63" ht="14.25" customHeight="1" x14ac:dyDescent="0.2">
      <c r="A793" s="7"/>
      <c r="B793" s="7"/>
      <c r="C793" s="7"/>
      <c r="D793" s="7"/>
      <c r="E793" s="92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</row>
    <row r="794" spans="1:63" ht="14.25" customHeight="1" x14ac:dyDescent="0.2">
      <c r="A794" s="7"/>
      <c r="B794" s="7"/>
      <c r="C794" s="7"/>
      <c r="D794" s="7"/>
      <c r="E794" s="92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</row>
    <row r="795" spans="1:63" ht="14.25" customHeight="1" x14ac:dyDescent="0.2">
      <c r="A795" s="7"/>
      <c r="B795" s="7"/>
      <c r="C795" s="7"/>
      <c r="D795" s="7"/>
      <c r="E795" s="92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</row>
    <row r="796" spans="1:63" ht="14.25" customHeight="1" x14ac:dyDescent="0.2">
      <c r="A796" s="7"/>
      <c r="B796" s="7"/>
      <c r="C796" s="7"/>
      <c r="D796" s="7"/>
      <c r="E796" s="92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</row>
    <row r="797" spans="1:63" ht="14.25" customHeight="1" x14ac:dyDescent="0.2">
      <c r="A797" s="7"/>
      <c r="B797" s="7"/>
      <c r="C797" s="7"/>
      <c r="D797" s="7"/>
      <c r="E797" s="92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</row>
    <row r="798" spans="1:63" ht="14.25" customHeight="1" x14ac:dyDescent="0.2">
      <c r="A798" s="7"/>
      <c r="B798" s="7"/>
      <c r="C798" s="7"/>
      <c r="D798" s="7"/>
      <c r="E798" s="92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</row>
    <row r="799" spans="1:63" ht="14.25" customHeight="1" x14ac:dyDescent="0.2">
      <c r="A799" s="7"/>
      <c r="B799" s="7"/>
      <c r="C799" s="7"/>
      <c r="D799" s="7"/>
      <c r="E799" s="92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</row>
    <row r="800" spans="1:63" ht="14.25" customHeight="1" x14ac:dyDescent="0.2">
      <c r="A800" s="7"/>
      <c r="B800" s="7"/>
      <c r="C800" s="7"/>
      <c r="D800" s="7"/>
      <c r="E800" s="92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</row>
    <row r="801" spans="1:63" ht="14.25" customHeight="1" x14ac:dyDescent="0.2">
      <c r="A801" s="7"/>
      <c r="B801" s="7"/>
      <c r="C801" s="7"/>
      <c r="D801" s="7"/>
      <c r="E801" s="92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</row>
    <row r="802" spans="1:63" ht="14.25" customHeight="1" x14ac:dyDescent="0.2">
      <c r="A802" s="7"/>
      <c r="B802" s="7"/>
      <c r="C802" s="7"/>
      <c r="D802" s="7"/>
      <c r="E802" s="92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</row>
    <row r="803" spans="1:63" ht="14.25" customHeight="1" x14ac:dyDescent="0.2">
      <c r="A803" s="7"/>
      <c r="B803" s="7"/>
      <c r="C803" s="7"/>
      <c r="D803" s="7"/>
      <c r="E803" s="92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</row>
    <row r="804" spans="1:63" ht="14.25" customHeight="1" x14ac:dyDescent="0.2">
      <c r="A804" s="7"/>
      <c r="B804" s="7"/>
      <c r="C804" s="7"/>
      <c r="D804" s="7"/>
      <c r="E804" s="92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</row>
    <row r="805" spans="1:63" ht="14.25" customHeight="1" x14ac:dyDescent="0.2">
      <c r="A805" s="7"/>
      <c r="B805" s="7"/>
      <c r="C805" s="7"/>
      <c r="D805" s="7"/>
      <c r="E805" s="92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</row>
    <row r="806" spans="1:63" ht="14.25" customHeight="1" x14ac:dyDescent="0.2">
      <c r="A806" s="7"/>
      <c r="B806" s="7"/>
      <c r="C806" s="7"/>
      <c r="D806" s="7"/>
      <c r="E806" s="92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</row>
    <row r="807" spans="1:63" ht="14.25" customHeight="1" x14ac:dyDescent="0.2">
      <c r="A807" s="7"/>
      <c r="B807" s="7"/>
      <c r="C807" s="7"/>
      <c r="D807" s="7"/>
      <c r="E807" s="92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</row>
    <row r="808" spans="1:63" ht="14.25" customHeight="1" x14ac:dyDescent="0.2">
      <c r="A808" s="7"/>
      <c r="B808" s="7"/>
      <c r="C808" s="7"/>
      <c r="D808" s="7"/>
      <c r="E808" s="92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</row>
    <row r="809" spans="1:63" ht="14.25" customHeight="1" x14ac:dyDescent="0.2">
      <c r="A809" s="7"/>
      <c r="B809" s="7"/>
      <c r="C809" s="7"/>
      <c r="D809" s="7"/>
      <c r="E809" s="92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</row>
    <row r="810" spans="1:63" ht="14.25" customHeight="1" x14ac:dyDescent="0.2">
      <c r="A810" s="7"/>
      <c r="B810" s="7"/>
      <c r="C810" s="7"/>
      <c r="D810" s="7"/>
      <c r="E810" s="92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</row>
    <row r="811" spans="1:63" ht="14.25" customHeight="1" x14ac:dyDescent="0.2">
      <c r="A811" s="7"/>
      <c r="B811" s="7"/>
      <c r="C811" s="7"/>
      <c r="D811" s="7"/>
      <c r="E811" s="92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</row>
    <row r="812" spans="1:63" ht="14.25" customHeight="1" x14ac:dyDescent="0.2">
      <c r="A812" s="7"/>
      <c r="B812" s="7"/>
      <c r="C812" s="7"/>
      <c r="D812" s="7"/>
      <c r="E812" s="92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</row>
    <row r="813" spans="1:63" ht="14.25" customHeight="1" x14ac:dyDescent="0.2">
      <c r="A813" s="7"/>
      <c r="B813" s="7"/>
      <c r="C813" s="7"/>
      <c r="D813" s="7"/>
      <c r="E813" s="92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</row>
    <row r="814" spans="1:63" ht="14.25" customHeight="1" x14ac:dyDescent="0.2">
      <c r="A814" s="7"/>
      <c r="B814" s="7"/>
      <c r="C814" s="7"/>
      <c r="D814" s="7"/>
      <c r="E814" s="92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</row>
    <row r="815" spans="1:63" ht="14.25" customHeight="1" x14ac:dyDescent="0.2">
      <c r="A815" s="7"/>
      <c r="B815" s="7"/>
      <c r="C815" s="7"/>
      <c r="D815" s="7"/>
      <c r="E815" s="92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</row>
    <row r="816" spans="1:63" ht="14.25" customHeight="1" x14ac:dyDescent="0.2">
      <c r="A816" s="7"/>
      <c r="B816" s="7"/>
      <c r="C816" s="7"/>
      <c r="D816" s="7"/>
      <c r="E816" s="92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</row>
    <row r="817" spans="1:63" ht="14.25" customHeight="1" x14ac:dyDescent="0.2">
      <c r="A817" s="7"/>
      <c r="B817" s="7"/>
      <c r="C817" s="7"/>
      <c r="D817" s="7"/>
      <c r="E817" s="92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</row>
    <row r="818" spans="1:63" ht="14.25" customHeight="1" x14ac:dyDescent="0.2">
      <c r="A818" s="7"/>
      <c r="B818" s="7"/>
      <c r="C818" s="7"/>
      <c r="D818" s="7"/>
      <c r="E818" s="92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</row>
    <row r="819" spans="1:63" ht="14.25" customHeight="1" x14ac:dyDescent="0.2">
      <c r="A819" s="7"/>
      <c r="B819" s="7"/>
      <c r="C819" s="7"/>
      <c r="D819" s="7"/>
      <c r="E819" s="92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</row>
    <row r="820" spans="1:63" ht="14.25" customHeight="1" x14ac:dyDescent="0.2">
      <c r="A820" s="7"/>
      <c r="B820" s="7"/>
      <c r="C820" s="7"/>
      <c r="D820" s="7"/>
      <c r="E820" s="92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</row>
    <row r="821" spans="1:63" ht="14.25" customHeight="1" x14ac:dyDescent="0.2">
      <c r="A821" s="7"/>
      <c r="B821" s="7"/>
      <c r="C821" s="7"/>
      <c r="D821" s="7"/>
      <c r="E821" s="92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</row>
    <row r="822" spans="1:63" ht="14.25" customHeight="1" x14ac:dyDescent="0.2">
      <c r="A822" s="7"/>
      <c r="B822" s="7"/>
      <c r="C822" s="7"/>
      <c r="D822" s="7"/>
      <c r="E822" s="92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</row>
    <row r="823" spans="1:63" ht="14.25" customHeight="1" x14ac:dyDescent="0.2">
      <c r="A823" s="7"/>
      <c r="B823" s="7"/>
      <c r="C823" s="7"/>
      <c r="D823" s="7"/>
      <c r="E823" s="92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</row>
    <row r="824" spans="1:63" ht="14.25" customHeight="1" x14ac:dyDescent="0.2">
      <c r="A824" s="7"/>
      <c r="B824" s="7"/>
      <c r="C824" s="7"/>
      <c r="D824" s="7"/>
      <c r="E824" s="92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</row>
    <row r="825" spans="1:63" ht="14.25" customHeight="1" x14ac:dyDescent="0.2">
      <c r="A825" s="7"/>
      <c r="B825" s="7"/>
      <c r="C825" s="7"/>
      <c r="D825" s="7"/>
      <c r="E825" s="92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</row>
    <row r="826" spans="1:63" ht="14.25" customHeight="1" x14ac:dyDescent="0.2">
      <c r="A826" s="7"/>
      <c r="B826" s="7"/>
      <c r="C826" s="7"/>
      <c r="D826" s="7"/>
      <c r="E826" s="92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</row>
    <row r="827" spans="1:63" ht="14.25" customHeight="1" x14ac:dyDescent="0.2">
      <c r="A827" s="7"/>
      <c r="B827" s="7"/>
      <c r="C827" s="7"/>
      <c r="D827" s="7"/>
      <c r="E827" s="92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</row>
    <row r="828" spans="1:63" ht="14.25" customHeight="1" x14ac:dyDescent="0.2">
      <c r="A828" s="7"/>
      <c r="B828" s="7"/>
      <c r="C828" s="7"/>
      <c r="D828" s="7"/>
      <c r="E828" s="92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</row>
    <row r="829" spans="1:63" ht="14.25" customHeight="1" x14ac:dyDescent="0.2">
      <c r="A829" s="7"/>
      <c r="B829" s="7"/>
      <c r="C829" s="7"/>
      <c r="D829" s="7"/>
      <c r="E829" s="92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</row>
    <row r="830" spans="1:63" ht="14.25" customHeight="1" x14ac:dyDescent="0.2">
      <c r="A830" s="7"/>
      <c r="B830" s="7"/>
      <c r="C830" s="7"/>
      <c r="D830" s="7"/>
      <c r="E830" s="92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</row>
    <row r="831" spans="1:63" ht="14.25" customHeight="1" x14ac:dyDescent="0.2">
      <c r="A831" s="7"/>
      <c r="B831" s="7"/>
      <c r="C831" s="7"/>
      <c r="D831" s="7"/>
      <c r="E831" s="92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</row>
    <row r="832" spans="1:63" ht="14.25" customHeight="1" x14ac:dyDescent="0.2">
      <c r="A832" s="7"/>
      <c r="B832" s="7"/>
      <c r="C832" s="7"/>
      <c r="D832" s="7"/>
      <c r="E832" s="92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</row>
    <row r="833" spans="1:63" ht="14.25" customHeight="1" x14ac:dyDescent="0.2">
      <c r="A833" s="7"/>
      <c r="B833" s="7"/>
      <c r="C833" s="7"/>
      <c r="D833" s="7"/>
      <c r="E833" s="92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</row>
    <row r="834" spans="1:63" ht="14.25" customHeight="1" x14ac:dyDescent="0.2">
      <c r="A834" s="7"/>
      <c r="B834" s="7"/>
      <c r="C834" s="7"/>
      <c r="D834" s="7"/>
      <c r="E834" s="92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</row>
    <row r="835" spans="1:63" ht="14.25" customHeight="1" x14ac:dyDescent="0.2">
      <c r="A835" s="7"/>
      <c r="B835" s="7"/>
      <c r="C835" s="7"/>
      <c r="D835" s="7"/>
      <c r="E835" s="92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</row>
    <row r="836" spans="1:63" ht="14.25" customHeight="1" x14ac:dyDescent="0.2">
      <c r="A836" s="7"/>
      <c r="B836" s="7"/>
      <c r="C836" s="7"/>
      <c r="D836" s="7"/>
      <c r="E836" s="92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</row>
    <row r="837" spans="1:63" ht="14.25" customHeight="1" x14ac:dyDescent="0.2">
      <c r="A837" s="7"/>
      <c r="B837" s="7"/>
      <c r="C837" s="7"/>
      <c r="D837" s="7"/>
      <c r="E837" s="92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</row>
    <row r="838" spans="1:63" ht="14.25" customHeight="1" x14ac:dyDescent="0.2">
      <c r="A838" s="7"/>
      <c r="B838" s="7"/>
      <c r="C838" s="7"/>
      <c r="D838" s="7"/>
      <c r="E838" s="92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</row>
    <row r="839" spans="1:63" ht="14.25" customHeight="1" x14ac:dyDescent="0.2">
      <c r="A839" s="7"/>
      <c r="B839" s="7"/>
      <c r="C839" s="7"/>
      <c r="D839" s="7"/>
      <c r="E839" s="92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</row>
    <row r="840" spans="1:63" ht="14.25" customHeight="1" x14ac:dyDescent="0.2">
      <c r="A840" s="7"/>
      <c r="B840" s="7"/>
      <c r="C840" s="7"/>
      <c r="D840" s="7"/>
      <c r="E840" s="92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</row>
    <row r="841" spans="1:63" ht="14.25" customHeight="1" x14ac:dyDescent="0.2">
      <c r="A841" s="7"/>
      <c r="B841" s="7"/>
      <c r="C841" s="7"/>
      <c r="D841" s="7"/>
      <c r="E841" s="92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</row>
    <row r="842" spans="1:63" ht="14.25" customHeight="1" x14ac:dyDescent="0.2">
      <c r="A842" s="7"/>
      <c r="B842" s="7"/>
      <c r="C842" s="7"/>
      <c r="D842" s="7"/>
      <c r="E842" s="92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</row>
    <row r="843" spans="1:63" ht="14.25" customHeight="1" x14ac:dyDescent="0.2">
      <c r="A843" s="7"/>
      <c r="B843" s="7"/>
      <c r="C843" s="7"/>
      <c r="D843" s="7"/>
      <c r="E843" s="92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</row>
    <row r="844" spans="1:63" ht="14.25" customHeight="1" x14ac:dyDescent="0.2">
      <c r="A844" s="7"/>
      <c r="B844" s="7"/>
      <c r="C844" s="7"/>
      <c r="D844" s="7"/>
      <c r="E844" s="92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</row>
    <row r="845" spans="1:63" ht="14.25" customHeight="1" x14ac:dyDescent="0.2">
      <c r="A845" s="7"/>
      <c r="B845" s="7"/>
      <c r="C845" s="7"/>
      <c r="D845" s="7"/>
      <c r="E845" s="92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</row>
    <row r="846" spans="1:63" ht="14.25" customHeight="1" x14ac:dyDescent="0.2">
      <c r="A846" s="7"/>
      <c r="B846" s="7"/>
      <c r="C846" s="7"/>
      <c r="D846" s="7"/>
      <c r="E846" s="92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</row>
    <row r="847" spans="1:63" ht="14.25" customHeight="1" x14ac:dyDescent="0.2">
      <c r="A847" s="7"/>
      <c r="B847" s="7"/>
      <c r="C847" s="7"/>
      <c r="D847" s="7"/>
      <c r="E847" s="92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</row>
    <row r="848" spans="1:63" ht="14.25" customHeight="1" x14ac:dyDescent="0.2">
      <c r="A848" s="7"/>
      <c r="B848" s="7"/>
      <c r="C848" s="7"/>
      <c r="D848" s="7"/>
      <c r="E848" s="92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</row>
    <row r="849" spans="1:63" ht="14.25" customHeight="1" x14ac:dyDescent="0.2">
      <c r="A849" s="7"/>
      <c r="B849" s="7"/>
      <c r="C849" s="7"/>
      <c r="D849" s="7"/>
      <c r="E849" s="92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</row>
    <row r="850" spans="1:63" ht="14.25" customHeight="1" x14ac:dyDescent="0.2">
      <c r="A850" s="7"/>
      <c r="B850" s="7"/>
      <c r="C850" s="7"/>
      <c r="D850" s="7"/>
      <c r="E850" s="92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</row>
    <row r="851" spans="1:63" ht="14.25" customHeight="1" x14ac:dyDescent="0.2">
      <c r="A851" s="7"/>
      <c r="B851" s="7"/>
      <c r="C851" s="7"/>
      <c r="D851" s="7"/>
      <c r="E851" s="92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</row>
    <row r="852" spans="1:63" ht="14.25" customHeight="1" x14ac:dyDescent="0.2">
      <c r="A852" s="7"/>
      <c r="B852" s="7"/>
      <c r="C852" s="7"/>
      <c r="D852" s="7"/>
      <c r="E852" s="92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</row>
    <row r="853" spans="1:63" ht="14.25" customHeight="1" x14ac:dyDescent="0.2">
      <c r="A853" s="7"/>
      <c r="B853" s="7"/>
      <c r="C853" s="7"/>
      <c r="D853" s="7"/>
      <c r="E853" s="92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</row>
    <row r="854" spans="1:63" ht="14.25" customHeight="1" x14ac:dyDescent="0.2">
      <c r="A854" s="7"/>
      <c r="B854" s="7"/>
      <c r="C854" s="7"/>
      <c r="D854" s="7"/>
      <c r="E854" s="92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</row>
    <row r="855" spans="1:63" ht="14.25" customHeight="1" x14ac:dyDescent="0.2">
      <c r="A855" s="7"/>
      <c r="B855" s="7"/>
      <c r="C855" s="7"/>
      <c r="D855" s="7"/>
      <c r="E855" s="92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</row>
    <row r="856" spans="1:63" ht="14.25" customHeight="1" x14ac:dyDescent="0.2">
      <c r="A856" s="7"/>
      <c r="B856" s="7"/>
      <c r="C856" s="7"/>
      <c r="D856" s="7"/>
      <c r="E856" s="92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</row>
    <row r="857" spans="1:63" ht="14.25" customHeight="1" x14ac:dyDescent="0.2">
      <c r="A857" s="7"/>
      <c r="B857" s="7"/>
      <c r="C857" s="7"/>
      <c r="D857" s="7"/>
      <c r="E857" s="92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</row>
    <row r="858" spans="1:63" ht="14.25" customHeight="1" x14ac:dyDescent="0.2">
      <c r="A858" s="7"/>
      <c r="B858" s="7"/>
      <c r="C858" s="7"/>
      <c r="D858" s="7"/>
      <c r="E858" s="92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</row>
    <row r="859" spans="1:63" ht="14.25" customHeight="1" x14ac:dyDescent="0.2">
      <c r="A859" s="7"/>
      <c r="B859" s="7"/>
      <c r="C859" s="7"/>
      <c r="D859" s="7"/>
      <c r="E859" s="92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</row>
    <row r="860" spans="1:63" ht="14.25" customHeight="1" x14ac:dyDescent="0.2">
      <c r="A860" s="7"/>
      <c r="B860" s="7"/>
      <c r="C860" s="7"/>
      <c r="D860" s="7"/>
      <c r="E860" s="92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</row>
    <row r="861" spans="1:63" ht="14.25" customHeight="1" x14ac:dyDescent="0.2">
      <c r="A861" s="7"/>
      <c r="B861" s="7"/>
      <c r="C861" s="7"/>
      <c r="D861" s="7"/>
      <c r="E861" s="92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</row>
    <row r="862" spans="1:63" ht="14.25" customHeight="1" x14ac:dyDescent="0.2">
      <c r="A862" s="7"/>
      <c r="B862" s="7"/>
      <c r="C862" s="7"/>
      <c r="D862" s="7"/>
      <c r="E862" s="92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</row>
    <row r="863" spans="1:63" ht="14.25" customHeight="1" x14ac:dyDescent="0.2">
      <c r="A863" s="7"/>
      <c r="B863" s="7"/>
      <c r="C863" s="7"/>
      <c r="D863" s="7"/>
      <c r="E863" s="92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</row>
    <row r="864" spans="1:63" ht="14.25" customHeight="1" x14ac:dyDescent="0.2">
      <c r="A864" s="7"/>
      <c r="B864" s="7"/>
      <c r="C864" s="7"/>
      <c r="D864" s="7"/>
      <c r="E864" s="92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</row>
    <row r="865" spans="1:63" ht="14.25" customHeight="1" x14ac:dyDescent="0.2">
      <c r="A865" s="7"/>
      <c r="B865" s="7"/>
      <c r="C865" s="7"/>
      <c r="D865" s="7"/>
      <c r="E865" s="92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</row>
    <row r="866" spans="1:63" ht="14.25" customHeight="1" x14ac:dyDescent="0.2">
      <c r="A866" s="7"/>
      <c r="B866" s="7"/>
      <c r="C866" s="7"/>
      <c r="D866" s="7"/>
      <c r="E866" s="92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</row>
    <row r="867" spans="1:63" ht="14.25" customHeight="1" x14ac:dyDescent="0.2">
      <c r="A867" s="7"/>
      <c r="B867" s="7"/>
      <c r="C867" s="7"/>
      <c r="D867" s="7"/>
      <c r="E867" s="92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</row>
    <row r="868" spans="1:63" ht="14.25" customHeight="1" x14ac:dyDescent="0.2">
      <c r="A868" s="7"/>
      <c r="B868" s="7"/>
      <c r="C868" s="7"/>
      <c r="D868" s="7"/>
      <c r="E868" s="92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</row>
    <row r="869" spans="1:63" ht="14.25" customHeight="1" x14ac:dyDescent="0.2">
      <c r="A869" s="7"/>
      <c r="B869" s="7"/>
      <c r="C869" s="7"/>
      <c r="D869" s="7"/>
      <c r="E869" s="92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</row>
    <row r="870" spans="1:63" ht="14.25" customHeight="1" x14ac:dyDescent="0.2">
      <c r="A870" s="7"/>
      <c r="B870" s="7"/>
      <c r="C870" s="7"/>
      <c r="D870" s="7"/>
      <c r="E870" s="92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</row>
    <row r="871" spans="1:63" ht="14.25" customHeight="1" x14ac:dyDescent="0.2">
      <c r="A871" s="7"/>
      <c r="B871" s="7"/>
      <c r="C871" s="7"/>
      <c r="D871" s="7"/>
      <c r="E871" s="92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</row>
    <row r="872" spans="1:63" ht="14.25" customHeight="1" x14ac:dyDescent="0.2">
      <c r="A872" s="7"/>
      <c r="B872" s="7"/>
      <c r="C872" s="7"/>
      <c r="D872" s="7"/>
      <c r="E872" s="92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</row>
    <row r="873" spans="1:63" ht="14.25" customHeight="1" x14ac:dyDescent="0.2">
      <c r="A873" s="7"/>
      <c r="B873" s="7"/>
      <c r="C873" s="7"/>
      <c r="D873" s="7"/>
      <c r="E873" s="92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</row>
    <row r="874" spans="1:63" ht="14.25" customHeight="1" x14ac:dyDescent="0.2">
      <c r="A874" s="7"/>
      <c r="B874" s="7"/>
      <c r="C874" s="7"/>
      <c r="D874" s="7"/>
      <c r="E874" s="92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</row>
    <row r="875" spans="1:63" ht="14.25" customHeight="1" x14ac:dyDescent="0.2">
      <c r="A875" s="7"/>
      <c r="B875" s="7"/>
      <c r="C875" s="7"/>
      <c r="D875" s="7"/>
      <c r="E875" s="92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</row>
    <row r="876" spans="1:63" ht="14.25" customHeight="1" x14ac:dyDescent="0.2">
      <c r="A876" s="7"/>
      <c r="B876" s="7"/>
      <c r="C876" s="7"/>
      <c r="D876" s="7"/>
      <c r="E876" s="92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</row>
    <row r="877" spans="1:63" ht="14.25" customHeight="1" x14ac:dyDescent="0.2">
      <c r="A877" s="7"/>
      <c r="B877" s="7"/>
      <c r="C877" s="7"/>
      <c r="D877" s="7"/>
      <c r="E877" s="92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</row>
    <row r="878" spans="1:63" ht="14.25" customHeight="1" x14ac:dyDescent="0.2">
      <c r="A878" s="7"/>
      <c r="B878" s="7"/>
      <c r="C878" s="7"/>
      <c r="D878" s="7"/>
      <c r="E878" s="92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</row>
    <row r="879" spans="1:63" ht="14.25" customHeight="1" x14ac:dyDescent="0.2">
      <c r="A879" s="7"/>
      <c r="B879" s="7"/>
      <c r="C879" s="7"/>
      <c r="D879" s="7"/>
      <c r="E879" s="92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</row>
    <row r="880" spans="1:63" ht="14.25" customHeight="1" x14ac:dyDescent="0.2">
      <c r="A880" s="7"/>
      <c r="B880" s="7"/>
      <c r="C880" s="7"/>
      <c r="D880" s="7"/>
      <c r="E880" s="92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</row>
    <row r="881" spans="1:63" ht="14.25" customHeight="1" x14ac:dyDescent="0.2">
      <c r="A881" s="7"/>
      <c r="B881" s="7"/>
      <c r="C881" s="7"/>
      <c r="D881" s="7"/>
      <c r="E881" s="92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</row>
    <row r="882" spans="1:63" ht="14.25" customHeight="1" x14ac:dyDescent="0.2">
      <c r="A882" s="7"/>
      <c r="B882" s="7"/>
      <c r="C882" s="7"/>
      <c r="D882" s="7"/>
      <c r="E882" s="92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</row>
    <row r="883" spans="1:63" ht="14.25" customHeight="1" x14ac:dyDescent="0.2">
      <c r="A883" s="7"/>
      <c r="B883" s="7"/>
      <c r="C883" s="7"/>
      <c r="D883" s="7"/>
      <c r="E883" s="92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</row>
    <row r="884" spans="1:63" ht="14.25" customHeight="1" x14ac:dyDescent="0.2">
      <c r="A884" s="7"/>
      <c r="B884" s="7"/>
      <c r="C884" s="7"/>
      <c r="D884" s="7"/>
      <c r="E884" s="92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</row>
    <row r="885" spans="1:63" ht="14.25" customHeight="1" x14ac:dyDescent="0.2">
      <c r="A885" s="7"/>
      <c r="B885" s="7"/>
      <c r="C885" s="7"/>
      <c r="D885" s="7"/>
      <c r="E885" s="92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</row>
    <row r="886" spans="1:63" ht="14.25" customHeight="1" x14ac:dyDescent="0.2">
      <c r="A886" s="7"/>
      <c r="B886" s="7"/>
      <c r="C886" s="7"/>
      <c r="D886" s="7"/>
      <c r="E886" s="92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</row>
    <row r="887" spans="1:63" ht="14.25" customHeight="1" x14ac:dyDescent="0.2">
      <c r="A887" s="7"/>
      <c r="B887" s="7"/>
      <c r="C887" s="7"/>
      <c r="D887" s="7"/>
      <c r="E887" s="92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</row>
    <row r="888" spans="1:63" ht="14.25" customHeight="1" x14ac:dyDescent="0.2">
      <c r="A888" s="7"/>
      <c r="B888" s="7"/>
      <c r="C888" s="7"/>
      <c r="D888" s="7"/>
      <c r="E888" s="92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</row>
    <row r="889" spans="1:63" ht="14.25" customHeight="1" x14ac:dyDescent="0.2">
      <c r="A889" s="7"/>
      <c r="B889" s="7"/>
      <c r="C889" s="7"/>
      <c r="D889" s="7"/>
      <c r="E889" s="92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</row>
    <row r="890" spans="1:63" ht="14.25" customHeight="1" x14ac:dyDescent="0.2">
      <c r="A890" s="7"/>
      <c r="B890" s="7"/>
      <c r="C890" s="7"/>
      <c r="D890" s="7"/>
      <c r="E890" s="92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</row>
    <row r="891" spans="1:63" ht="14.25" customHeight="1" x14ac:dyDescent="0.2">
      <c r="A891" s="7"/>
      <c r="B891" s="7"/>
      <c r="C891" s="7"/>
      <c r="D891" s="7"/>
      <c r="E891" s="92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</row>
    <row r="892" spans="1:63" ht="14.25" customHeight="1" x14ac:dyDescent="0.2">
      <c r="A892" s="7"/>
      <c r="B892" s="7"/>
      <c r="C892" s="7"/>
      <c r="D892" s="7"/>
      <c r="E892" s="92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</row>
    <row r="893" spans="1:63" ht="14.25" customHeight="1" x14ac:dyDescent="0.2">
      <c r="A893" s="7"/>
      <c r="B893" s="7"/>
      <c r="C893" s="7"/>
      <c r="D893" s="7"/>
      <c r="E893" s="92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</row>
    <row r="894" spans="1:63" ht="14.25" customHeight="1" x14ac:dyDescent="0.2">
      <c r="A894" s="7"/>
      <c r="B894" s="7"/>
      <c r="C894" s="7"/>
      <c r="D894" s="7"/>
      <c r="E894" s="92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</row>
    <row r="895" spans="1:63" ht="14.25" customHeight="1" x14ac:dyDescent="0.2">
      <c r="A895" s="7"/>
      <c r="B895" s="7"/>
      <c r="C895" s="7"/>
      <c r="D895" s="7"/>
      <c r="E895" s="92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</row>
    <row r="896" spans="1:63" ht="14.25" customHeight="1" x14ac:dyDescent="0.2">
      <c r="A896" s="7"/>
      <c r="B896" s="7"/>
      <c r="C896" s="7"/>
      <c r="D896" s="7"/>
      <c r="E896" s="92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</row>
    <row r="897" spans="1:63" ht="14.25" customHeight="1" x14ac:dyDescent="0.2">
      <c r="A897" s="7"/>
      <c r="B897" s="7"/>
      <c r="C897" s="7"/>
      <c r="D897" s="7"/>
      <c r="E897" s="92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</row>
    <row r="898" spans="1:63" ht="14.25" customHeight="1" x14ac:dyDescent="0.2">
      <c r="A898" s="7"/>
      <c r="B898" s="7"/>
      <c r="C898" s="7"/>
      <c r="D898" s="7"/>
      <c r="E898" s="92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</row>
    <row r="899" spans="1:63" ht="14.25" customHeight="1" x14ac:dyDescent="0.2">
      <c r="A899" s="7"/>
      <c r="B899" s="7"/>
      <c r="C899" s="7"/>
      <c r="D899" s="7"/>
      <c r="E899" s="92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</row>
    <row r="900" spans="1:63" ht="14.25" customHeight="1" x14ac:dyDescent="0.2">
      <c r="A900" s="7"/>
      <c r="B900" s="7"/>
      <c r="C900" s="7"/>
      <c r="D900" s="7"/>
      <c r="E900" s="92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</row>
    <row r="901" spans="1:63" ht="14.25" customHeight="1" x14ac:dyDescent="0.2">
      <c r="A901" s="7"/>
      <c r="B901" s="7"/>
      <c r="C901" s="7"/>
      <c r="D901" s="7"/>
      <c r="E901" s="92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</row>
    <row r="902" spans="1:63" ht="14.25" customHeight="1" x14ac:dyDescent="0.2">
      <c r="A902" s="7"/>
      <c r="B902" s="7"/>
      <c r="C902" s="7"/>
      <c r="D902" s="7"/>
      <c r="E902" s="92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</row>
    <row r="903" spans="1:63" ht="14.25" customHeight="1" x14ac:dyDescent="0.2">
      <c r="A903" s="7"/>
      <c r="B903" s="7"/>
      <c r="C903" s="7"/>
      <c r="D903" s="7"/>
      <c r="E903" s="92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</row>
    <row r="904" spans="1:63" ht="14.25" customHeight="1" x14ac:dyDescent="0.2">
      <c r="A904" s="7"/>
      <c r="B904" s="7"/>
      <c r="C904" s="7"/>
      <c r="D904" s="7"/>
      <c r="E904" s="92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</row>
    <row r="905" spans="1:63" ht="14.25" customHeight="1" x14ac:dyDescent="0.2">
      <c r="A905" s="7"/>
      <c r="B905" s="7"/>
      <c r="C905" s="7"/>
      <c r="D905" s="7"/>
      <c r="E905" s="92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</row>
    <row r="906" spans="1:63" ht="14.25" customHeight="1" x14ac:dyDescent="0.2">
      <c r="A906" s="7"/>
      <c r="B906" s="7"/>
      <c r="C906" s="7"/>
      <c r="D906" s="7"/>
      <c r="E906" s="92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</row>
    <row r="907" spans="1:63" ht="14.25" customHeight="1" x14ac:dyDescent="0.2">
      <c r="A907" s="7"/>
      <c r="B907" s="7"/>
      <c r="C907" s="7"/>
      <c r="D907" s="7"/>
      <c r="E907" s="92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</row>
    <row r="908" spans="1:63" ht="14.25" customHeight="1" x14ac:dyDescent="0.2">
      <c r="A908" s="7"/>
      <c r="B908" s="7"/>
      <c r="C908" s="7"/>
      <c r="D908" s="7"/>
      <c r="E908" s="92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</row>
    <row r="909" spans="1:63" ht="14.25" customHeight="1" x14ac:dyDescent="0.2">
      <c r="A909" s="7"/>
      <c r="B909" s="7"/>
      <c r="C909" s="7"/>
      <c r="D909" s="7"/>
      <c r="E909" s="92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</row>
    <row r="910" spans="1:63" ht="14.25" customHeight="1" x14ac:dyDescent="0.2">
      <c r="A910" s="7"/>
      <c r="B910" s="7"/>
      <c r="C910" s="7"/>
      <c r="D910" s="7"/>
      <c r="E910" s="92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</row>
    <row r="911" spans="1:63" ht="14.25" customHeight="1" x14ac:dyDescent="0.2">
      <c r="A911" s="7"/>
      <c r="B911" s="7"/>
      <c r="C911" s="7"/>
      <c r="D911" s="7"/>
      <c r="E911" s="92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</row>
    <row r="912" spans="1:63" ht="14.25" customHeight="1" x14ac:dyDescent="0.2">
      <c r="A912" s="7"/>
      <c r="B912" s="7"/>
      <c r="C912" s="7"/>
      <c r="D912" s="7"/>
      <c r="E912" s="92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</row>
    <row r="913" spans="1:63" ht="14.25" customHeight="1" x14ac:dyDescent="0.2">
      <c r="A913" s="7"/>
      <c r="B913" s="7"/>
      <c r="C913" s="7"/>
      <c r="D913" s="7"/>
      <c r="E913" s="92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</row>
    <row r="914" spans="1:63" ht="14.25" customHeight="1" x14ac:dyDescent="0.2">
      <c r="A914" s="7"/>
      <c r="B914" s="7"/>
      <c r="C914" s="7"/>
      <c r="D914" s="7"/>
      <c r="E914" s="92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</row>
    <row r="915" spans="1:63" ht="14.25" customHeight="1" x14ac:dyDescent="0.2">
      <c r="A915" s="7"/>
      <c r="B915" s="7"/>
      <c r="C915" s="7"/>
      <c r="D915" s="7"/>
      <c r="E915" s="92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</row>
    <row r="916" spans="1:63" ht="14.25" customHeight="1" x14ac:dyDescent="0.2">
      <c r="A916" s="7"/>
      <c r="B916" s="7"/>
      <c r="C916" s="7"/>
      <c r="D916" s="7"/>
      <c r="E916" s="92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</row>
    <row r="917" spans="1:63" ht="14.25" customHeight="1" x14ac:dyDescent="0.2">
      <c r="A917" s="7"/>
      <c r="B917" s="7"/>
      <c r="C917" s="7"/>
      <c r="D917" s="7"/>
      <c r="E917" s="92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</row>
    <row r="918" spans="1:63" ht="14.25" customHeight="1" x14ac:dyDescent="0.2">
      <c r="A918" s="7"/>
      <c r="B918" s="7"/>
      <c r="C918" s="7"/>
      <c r="D918" s="7"/>
      <c r="E918" s="92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</row>
    <row r="919" spans="1:63" ht="14.25" customHeight="1" x14ac:dyDescent="0.2">
      <c r="A919" s="7"/>
      <c r="B919" s="7"/>
      <c r="C919" s="7"/>
      <c r="D919" s="7"/>
      <c r="E919" s="92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</row>
    <row r="920" spans="1:63" ht="14.25" customHeight="1" x14ac:dyDescent="0.2">
      <c r="A920" s="7"/>
      <c r="B920" s="7"/>
      <c r="C920" s="7"/>
      <c r="D920" s="7"/>
      <c r="E920" s="92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</row>
    <row r="921" spans="1:63" ht="14.25" customHeight="1" x14ac:dyDescent="0.2">
      <c r="A921" s="7"/>
      <c r="B921" s="7"/>
      <c r="C921" s="7"/>
      <c r="D921" s="7"/>
      <c r="E921" s="92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</row>
    <row r="922" spans="1:63" ht="14.25" customHeight="1" x14ac:dyDescent="0.2">
      <c r="A922" s="7"/>
      <c r="B922" s="7"/>
      <c r="C922" s="7"/>
      <c r="D922" s="7"/>
      <c r="E922" s="92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</row>
    <row r="923" spans="1:63" ht="14.25" customHeight="1" x14ac:dyDescent="0.2">
      <c r="A923" s="7"/>
      <c r="B923" s="7"/>
      <c r="C923" s="7"/>
      <c r="D923" s="7"/>
      <c r="E923" s="92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</row>
    <row r="924" spans="1:63" ht="14.25" customHeight="1" x14ac:dyDescent="0.2">
      <c r="A924" s="7"/>
      <c r="B924" s="7"/>
      <c r="C924" s="7"/>
      <c r="D924" s="7"/>
      <c r="E924" s="92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</row>
    <row r="925" spans="1:63" ht="14.25" customHeight="1" x14ac:dyDescent="0.2">
      <c r="A925" s="7"/>
      <c r="B925" s="7"/>
      <c r="C925" s="7"/>
      <c r="D925" s="7"/>
      <c r="E925" s="92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</row>
    <row r="926" spans="1:63" ht="14.25" customHeight="1" x14ac:dyDescent="0.2">
      <c r="A926" s="7"/>
      <c r="B926" s="7"/>
      <c r="C926" s="7"/>
      <c r="D926" s="7"/>
      <c r="E926" s="92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</row>
    <row r="927" spans="1:63" ht="14.25" customHeight="1" x14ac:dyDescent="0.2">
      <c r="A927" s="7"/>
      <c r="B927" s="7"/>
      <c r="C927" s="7"/>
      <c r="D927" s="7"/>
      <c r="E927" s="92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</row>
    <row r="928" spans="1:63" ht="14.25" customHeight="1" x14ac:dyDescent="0.2">
      <c r="A928" s="7"/>
      <c r="B928" s="7"/>
      <c r="C928" s="7"/>
      <c r="D928" s="7"/>
      <c r="E928" s="92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</row>
    <row r="929" spans="1:63" ht="14.25" customHeight="1" x14ac:dyDescent="0.2">
      <c r="A929" s="7"/>
      <c r="B929" s="7"/>
      <c r="C929" s="7"/>
      <c r="D929" s="7"/>
      <c r="E929" s="92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</row>
    <row r="930" spans="1:63" ht="14.25" customHeight="1" x14ac:dyDescent="0.2">
      <c r="A930" s="7"/>
      <c r="B930" s="7"/>
      <c r="C930" s="7"/>
      <c r="D930" s="7"/>
      <c r="E930" s="92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</row>
    <row r="931" spans="1:63" ht="14.25" customHeight="1" x14ac:dyDescent="0.2">
      <c r="A931" s="7"/>
      <c r="B931" s="7"/>
      <c r="C931" s="7"/>
      <c r="D931" s="7"/>
      <c r="E931" s="92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</row>
    <row r="932" spans="1:63" ht="14.25" customHeight="1" x14ac:dyDescent="0.2">
      <c r="A932" s="7"/>
      <c r="B932" s="7"/>
      <c r="C932" s="7"/>
      <c r="D932" s="7"/>
      <c r="E932" s="92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</row>
    <row r="933" spans="1:63" ht="14.25" customHeight="1" x14ac:dyDescent="0.2">
      <c r="A933" s="7"/>
      <c r="B933" s="7"/>
      <c r="C933" s="7"/>
      <c r="D933" s="7"/>
      <c r="E933" s="92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</row>
    <row r="934" spans="1:63" ht="14.25" customHeight="1" x14ac:dyDescent="0.2">
      <c r="A934" s="7"/>
      <c r="B934" s="7"/>
      <c r="C934" s="7"/>
      <c r="D934" s="7"/>
      <c r="E934" s="92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</row>
    <row r="935" spans="1:63" ht="14.25" customHeight="1" x14ac:dyDescent="0.2">
      <c r="A935" s="7"/>
      <c r="B935" s="7"/>
      <c r="C935" s="7"/>
      <c r="D935" s="7"/>
      <c r="E935" s="92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</row>
    <row r="936" spans="1:63" ht="14.25" customHeight="1" x14ac:dyDescent="0.2">
      <c r="A936" s="7"/>
      <c r="B936" s="7"/>
      <c r="C936" s="7"/>
      <c r="D936" s="7"/>
      <c r="E936" s="92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</row>
    <row r="937" spans="1:63" ht="14.25" customHeight="1" x14ac:dyDescent="0.2">
      <c r="A937" s="7"/>
      <c r="B937" s="7"/>
      <c r="C937" s="7"/>
      <c r="D937" s="7"/>
      <c r="E937" s="92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</row>
    <row r="938" spans="1:63" ht="14.25" customHeight="1" x14ac:dyDescent="0.2">
      <c r="A938" s="7"/>
      <c r="B938" s="7"/>
      <c r="C938" s="7"/>
      <c r="D938" s="7"/>
      <c r="E938" s="92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</row>
    <row r="939" spans="1:63" ht="14.25" customHeight="1" x14ac:dyDescent="0.2">
      <c r="A939" s="7"/>
      <c r="B939" s="7"/>
      <c r="C939" s="7"/>
      <c r="D939" s="7"/>
      <c r="E939" s="92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</row>
    <row r="940" spans="1:63" ht="14.25" customHeight="1" x14ac:dyDescent="0.2">
      <c r="A940" s="7"/>
      <c r="B940" s="7"/>
      <c r="C940" s="7"/>
      <c r="D940" s="7"/>
      <c r="E940" s="92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</row>
    <row r="941" spans="1:63" ht="14.25" customHeight="1" x14ac:dyDescent="0.2">
      <c r="A941" s="7"/>
      <c r="B941" s="7"/>
      <c r="C941" s="7"/>
      <c r="D941" s="7"/>
      <c r="E941" s="92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</row>
    <row r="942" spans="1:63" ht="14.25" customHeight="1" x14ac:dyDescent="0.2">
      <c r="A942" s="7"/>
      <c r="B942" s="7"/>
      <c r="C942" s="7"/>
      <c r="D942" s="7"/>
      <c r="E942" s="92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</row>
    <row r="943" spans="1:63" ht="14.25" customHeight="1" x14ac:dyDescent="0.2">
      <c r="A943" s="7"/>
      <c r="B943" s="7"/>
      <c r="C943" s="7"/>
      <c r="D943" s="7"/>
      <c r="E943" s="92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</row>
    <row r="944" spans="1:63" ht="14.25" customHeight="1" x14ac:dyDescent="0.2">
      <c r="A944" s="7"/>
      <c r="B944" s="7"/>
      <c r="C944" s="7"/>
      <c r="D944" s="7"/>
      <c r="E944" s="92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</row>
    <row r="945" spans="1:63" ht="14.25" customHeight="1" x14ac:dyDescent="0.2">
      <c r="A945" s="7"/>
      <c r="B945" s="7"/>
      <c r="C945" s="7"/>
      <c r="D945" s="7"/>
      <c r="E945" s="92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</row>
    <row r="946" spans="1:63" ht="14.25" customHeight="1" x14ac:dyDescent="0.2">
      <c r="A946" s="7"/>
      <c r="B946" s="7"/>
      <c r="C946" s="7"/>
      <c r="D946" s="7"/>
      <c r="E946" s="92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</row>
    <row r="947" spans="1:63" ht="14.25" customHeight="1" x14ac:dyDescent="0.2">
      <c r="A947" s="7"/>
      <c r="B947" s="7"/>
      <c r="C947" s="7"/>
      <c r="D947" s="7"/>
      <c r="E947" s="92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</row>
    <row r="948" spans="1:63" ht="14.25" customHeight="1" x14ac:dyDescent="0.2">
      <c r="A948" s="7"/>
      <c r="B948" s="7"/>
      <c r="C948" s="7"/>
      <c r="D948" s="7"/>
      <c r="E948" s="92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</row>
    <row r="949" spans="1:63" ht="14.25" customHeight="1" x14ac:dyDescent="0.2">
      <c r="A949" s="7"/>
      <c r="B949" s="7"/>
      <c r="C949" s="7"/>
      <c r="D949" s="7"/>
      <c r="E949" s="92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</row>
    <row r="950" spans="1:63" ht="14.25" customHeight="1" x14ac:dyDescent="0.2">
      <c r="A950" s="7"/>
      <c r="B950" s="7"/>
      <c r="C950" s="7"/>
      <c r="D950" s="7"/>
      <c r="E950" s="92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</row>
    <row r="951" spans="1:63" ht="14.25" customHeight="1" x14ac:dyDescent="0.2">
      <c r="A951" s="7"/>
      <c r="B951" s="7"/>
      <c r="C951" s="7"/>
      <c r="D951" s="7"/>
      <c r="E951" s="92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</row>
    <row r="952" spans="1:63" ht="14.25" customHeight="1" x14ac:dyDescent="0.2">
      <c r="A952" s="7"/>
      <c r="B952" s="7"/>
      <c r="C952" s="7"/>
      <c r="D952" s="7"/>
      <c r="E952" s="92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</row>
    <row r="953" spans="1:63" ht="14.25" customHeight="1" x14ac:dyDescent="0.2">
      <c r="A953" s="7"/>
      <c r="B953" s="7"/>
      <c r="C953" s="7"/>
      <c r="D953" s="7"/>
      <c r="E953" s="92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</row>
    <row r="954" spans="1:63" ht="14.25" customHeight="1" x14ac:dyDescent="0.2">
      <c r="A954" s="7"/>
      <c r="B954" s="7"/>
      <c r="C954" s="7"/>
      <c r="D954" s="7"/>
      <c r="E954" s="92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</row>
    <row r="955" spans="1:63" ht="14.25" customHeight="1" x14ac:dyDescent="0.2">
      <c r="A955" s="7"/>
      <c r="B955" s="7"/>
      <c r="C955" s="7"/>
      <c r="D955" s="7"/>
      <c r="E955" s="92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</row>
    <row r="956" spans="1:63" ht="14.25" customHeight="1" x14ac:dyDescent="0.2">
      <c r="A956" s="7"/>
      <c r="B956" s="7"/>
      <c r="C956" s="7"/>
      <c r="D956" s="7"/>
      <c r="E956" s="92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</row>
    <row r="957" spans="1:63" ht="14.25" customHeight="1" x14ac:dyDescent="0.2">
      <c r="A957" s="7"/>
      <c r="B957" s="7"/>
      <c r="C957" s="7"/>
      <c r="D957" s="7"/>
      <c r="E957" s="92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</row>
    <row r="958" spans="1:63" ht="14.25" customHeight="1" x14ac:dyDescent="0.2">
      <c r="A958" s="7"/>
      <c r="B958" s="7"/>
      <c r="C958" s="7"/>
      <c r="D958" s="7"/>
      <c r="E958" s="92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</row>
    <row r="959" spans="1:63" ht="14.25" customHeight="1" x14ac:dyDescent="0.2">
      <c r="A959" s="7"/>
      <c r="B959" s="7"/>
      <c r="C959" s="7"/>
      <c r="D959" s="7"/>
      <c r="E959" s="92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</row>
    <row r="960" spans="1:63" ht="14.25" customHeight="1" x14ac:dyDescent="0.2">
      <c r="A960" s="7"/>
      <c r="B960" s="7"/>
      <c r="C960" s="7"/>
      <c r="D960" s="7"/>
      <c r="E960" s="92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</row>
    <row r="961" spans="1:63" ht="14.25" customHeight="1" x14ac:dyDescent="0.2">
      <c r="A961" s="7"/>
      <c r="B961" s="7"/>
      <c r="C961" s="7"/>
      <c r="D961" s="7"/>
      <c r="E961" s="92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</row>
    <row r="962" spans="1:63" ht="14.25" customHeight="1" x14ac:dyDescent="0.2">
      <c r="A962" s="7"/>
      <c r="B962" s="7"/>
      <c r="C962" s="7"/>
      <c r="D962" s="7"/>
      <c r="E962" s="92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</row>
    <row r="963" spans="1:63" ht="14.25" customHeight="1" x14ac:dyDescent="0.2">
      <c r="A963" s="7"/>
      <c r="B963" s="7"/>
      <c r="C963" s="7"/>
      <c r="D963" s="7"/>
      <c r="E963" s="92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</row>
    <row r="964" spans="1:63" ht="14.25" customHeight="1" x14ac:dyDescent="0.2">
      <c r="A964" s="7"/>
      <c r="B964" s="7"/>
      <c r="C964" s="7"/>
      <c r="D964" s="7"/>
      <c r="E964" s="92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</row>
    <row r="965" spans="1:63" ht="14.25" customHeight="1" x14ac:dyDescent="0.2">
      <c r="A965" s="7"/>
      <c r="B965" s="7"/>
      <c r="C965" s="7"/>
      <c r="D965" s="7"/>
      <c r="E965" s="92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</row>
    <row r="966" spans="1:63" ht="14.25" customHeight="1" x14ac:dyDescent="0.2">
      <c r="A966" s="7"/>
      <c r="B966" s="7"/>
      <c r="C966" s="7"/>
      <c r="D966" s="7"/>
      <c r="E966" s="92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</row>
    <row r="967" spans="1:63" ht="14.25" customHeight="1" x14ac:dyDescent="0.2">
      <c r="A967" s="7"/>
      <c r="B967" s="7"/>
      <c r="C967" s="7"/>
      <c r="D967" s="7"/>
      <c r="E967" s="92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</row>
    <row r="968" spans="1:63" ht="14.25" customHeight="1" x14ac:dyDescent="0.2">
      <c r="A968" s="7"/>
      <c r="B968" s="7"/>
      <c r="C968" s="7"/>
      <c r="D968" s="7"/>
      <c r="E968" s="92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</row>
    <row r="969" spans="1:63" ht="14.25" customHeight="1" x14ac:dyDescent="0.2">
      <c r="A969" s="7"/>
      <c r="B969" s="7"/>
      <c r="C969" s="7"/>
      <c r="D969" s="7"/>
      <c r="E969" s="92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</row>
    <row r="970" spans="1:63" ht="14.25" customHeight="1" x14ac:dyDescent="0.2">
      <c r="A970" s="7"/>
      <c r="B970" s="7"/>
      <c r="C970" s="7"/>
      <c r="D970" s="7"/>
      <c r="E970" s="92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</row>
    <row r="971" spans="1:63" ht="14.25" customHeight="1" x14ac:dyDescent="0.2">
      <c r="A971" s="7"/>
      <c r="B971" s="7"/>
      <c r="C971" s="7"/>
      <c r="D971" s="7"/>
      <c r="E971" s="92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</row>
    <row r="972" spans="1:63" ht="14.25" customHeight="1" x14ac:dyDescent="0.2">
      <c r="A972" s="7"/>
      <c r="B972" s="7"/>
      <c r="C972" s="7"/>
      <c r="D972" s="7"/>
      <c r="E972" s="92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</row>
    <row r="973" spans="1:63" ht="14.25" customHeight="1" x14ac:dyDescent="0.2">
      <c r="A973" s="7"/>
      <c r="B973" s="7"/>
      <c r="C973" s="7"/>
      <c r="D973" s="7"/>
      <c r="E973" s="92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</row>
    <row r="974" spans="1:63" ht="14.25" customHeight="1" x14ac:dyDescent="0.2">
      <c r="A974" s="7"/>
      <c r="B974" s="7"/>
      <c r="C974" s="7"/>
      <c r="D974" s="7"/>
      <c r="E974" s="92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</row>
    <row r="975" spans="1:63" ht="14.25" customHeight="1" x14ac:dyDescent="0.2">
      <c r="A975" s="7"/>
      <c r="B975" s="7"/>
      <c r="C975" s="7"/>
      <c r="D975" s="7"/>
      <c r="E975" s="92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</row>
    <row r="976" spans="1:63" ht="14.25" customHeight="1" x14ac:dyDescent="0.2">
      <c r="A976" s="7"/>
      <c r="B976" s="7"/>
      <c r="C976" s="7"/>
      <c r="D976" s="7"/>
      <c r="E976" s="92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</row>
    <row r="977" spans="1:63" ht="14.25" customHeight="1" x14ac:dyDescent="0.2">
      <c r="A977" s="7"/>
      <c r="B977" s="7"/>
      <c r="C977" s="7"/>
      <c r="D977" s="7"/>
      <c r="E977" s="92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</row>
    <row r="978" spans="1:63" ht="14.25" customHeight="1" x14ac:dyDescent="0.2">
      <c r="A978" s="7"/>
      <c r="B978" s="7"/>
      <c r="C978" s="7"/>
      <c r="D978" s="7"/>
      <c r="E978" s="92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</row>
    <row r="979" spans="1:63" ht="14.25" customHeight="1" x14ac:dyDescent="0.2">
      <c r="A979" s="7"/>
      <c r="B979" s="7"/>
      <c r="C979" s="7"/>
      <c r="D979" s="7"/>
      <c r="E979" s="92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</row>
    <row r="980" spans="1:63" ht="14.25" customHeight="1" x14ac:dyDescent="0.2">
      <c r="A980" s="7"/>
      <c r="B980" s="7"/>
      <c r="C980" s="7"/>
      <c r="D980" s="7"/>
      <c r="E980" s="92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</row>
    <row r="981" spans="1:63" ht="14.25" customHeight="1" x14ac:dyDescent="0.2">
      <c r="A981" s="7"/>
      <c r="B981" s="7"/>
      <c r="C981" s="7"/>
      <c r="D981" s="7"/>
      <c r="E981" s="92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</row>
    <row r="982" spans="1:63" ht="14.25" customHeight="1" x14ac:dyDescent="0.2">
      <c r="A982" s="7"/>
      <c r="B982" s="7"/>
      <c r="C982" s="7"/>
      <c r="D982" s="7"/>
      <c r="E982" s="92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</row>
    <row r="983" spans="1:63" ht="14.25" customHeight="1" x14ac:dyDescent="0.2">
      <c r="A983" s="7"/>
      <c r="B983" s="7"/>
      <c r="C983" s="7"/>
      <c r="D983" s="7"/>
      <c r="E983" s="92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</row>
    <row r="984" spans="1:63" ht="14.25" customHeight="1" x14ac:dyDescent="0.2">
      <c r="A984" s="7"/>
      <c r="B984" s="7"/>
      <c r="C984" s="7"/>
      <c r="D984" s="7"/>
      <c r="E984" s="92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</row>
    <row r="985" spans="1:63" ht="14.25" customHeight="1" x14ac:dyDescent="0.2">
      <c r="A985" s="7"/>
      <c r="B985" s="7"/>
      <c r="C985" s="7"/>
      <c r="D985" s="7"/>
      <c r="E985" s="92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</row>
    <row r="986" spans="1:63" ht="14.25" customHeight="1" x14ac:dyDescent="0.2">
      <c r="A986" s="7"/>
      <c r="B986" s="7"/>
      <c r="C986" s="7"/>
      <c r="D986" s="7"/>
      <c r="E986" s="92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</row>
    <row r="987" spans="1:63" ht="14.25" customHeight="1" x14ac:dyDescent="0.2">
      <c r="A987" s="7"/>
      <c r="B987" s="7"/>
      <c r="C987" s="7"/>
      <c r="D987" s="7"/>
      <c r="E987" s="92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</row>
    <row r="988" spans="1:63" ht="14.25" customHeight="1" x14ac:dyDescent="0.2">
      <c r="A988" s="7"/>
      <c r="B988" s="7"/>
      <c r="C988" s="7"/>
      <c r="D988" s="7"/>
      <c r="E988" s="92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</row>
    <row r="989" spans="1:63" ht="14.25" customHeight="1" x14ac:dyDescent="0.2">
      <c r="A989" s="7"/>
      <c r="B989" s="7"/>
      <c r="C989" s="7"/>
      <c r="D989" s="7"/>
      <c r="E989" s="92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</row>
    <row r="990" spans="1:63" ht="14.25" customHeight="1" x14ac:dyDescent="0.2">
      <c r="A990" s="7"/>
      <c r="B990" s="7"/>
      <c r="C990" s="7"/>
      <c r="D990" s="7"/>
      <c r="E990" s="92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</row>
    <row r="991" spans="1:63" ht="14.25" customHeight="1" x14ac:dyDescent="0.2">
      <c r="A991" s="7"/>
      <c r="B991" s="7"/>
      <c r="C991" s="7"/>
      <c r="D991" s="7"/>
      <c r="E991" s="92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</row>
    <row r="992" spans="1:63" ht="14.25" customHeight="1" x14ac:dyDescent="0.2">
      <c r="A992" s="7"/>
      <c r="B992" s="7"/>
      <c r="C992" s="7"/>
      <c r="D992" s="7"/>
      <c r="E992" s="92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</row>
    <row r="993" spans="1:63" ht="14.25" customHeight="1" x14ac:dyDescent="0.2">
      <c r="A993" s="7"/>
      <c r="B993" s="7"/>
      <c r="C993" s="7"/>
      <c r="D993" s="7"/>
      <c r="E993" s="92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</row>
    <row r="994" spans="1:63" ht="14.25" customHeight="1" x14ac:dyDescent="0.2">
      <c r="A994" s="7"/>
      <c r="B994" s="7"/>
      <c r="C994" s="7"/>
      <c r="D994" s="7"/>
      <c r="E994" s="92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</row>
    <row r="995" spans="1:63" ht="14.25" customHeight="1" x14ac:dyDescent="0.2">
      <c r="A995" s="7"/>
      <c r="B995" s="7"/>
      <c r="C995" s="7"/>
      <c r="D995" s="7"/>
      <c r="E995" s="92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</row>
    <row r="996" spans="1:63" ht="14.25" customHeight="1" x14ac:dyDescent="0.2">
      <c r="A996" s="7"/>
      <c r="B996" s="7"/>
      <c r="C996" s="7"/>
      <c r="D996" s="7"/>
      <c r="E996" s="92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</row>
    <row r="997" spans="1:63" ht="14.25" customHeight="1" x14ac:dyDescent="0.2">
      <c r="A997" s="7"/>
      <c r="B997" s="7"/>
      <c r="C997" s="7"/>
      <c r="D997" s="7"/>
      <c r="E997" s="92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</row>
    <row r="998" spans="1:63" ht="14.25" customHeight="1" x14ac:dyDescent="0.2">
      <c r="A998" s="7"/>
      <c r="B998" s="7"/>
      <c r="C998" s="7"/>
      <c r="D998" s="7"/>
      <c r="E998" s="92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</row>
    <row r="999" spans="1:63" ht="14.25" customHeight="1" x14ac:dyDescent="0.2">
      <c r="A999" s="7"/>
      <c r="B999" s="7"/>
      <c r="C999" s="7"/>
      <c r="D999" s="7"/>
      <c r="E999" s="92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</row>
    <row r="1000" spans="1:63" ht="14.25" customHeight="1" x14ac:dyDescent="0.2">
      <c r="A1000" s="7"/>
      <c r="B1000" s="7"/>
      <c r="C1000" s="7"/>
      <c r="D1000" s="7"/>
      <c r="E1000" s="92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</row>
    <row r="1001" spans="1:63" ht="14.25" customHeight="1" x14ac:dyDescent="0.2">
      <c r="A1001" s="7"/>
      <c r="B1001" s="7"/>
      <c r="C1001" s="7"/>
      <c r="D1001" s="7"/>
      <c r="E1001" s="92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</row>
  </sheetData>
  <mergeCells count="43">
    <mergeCell ref="Q6:U6"/>
    <mergeCell ref="X6:X7"/>
    <mergeCell ref="Y6:Y7"/>
    <mergeCell ref="Z6:AH6"/>
    <mergeCell ref="AI6:AL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Y6:AZ6"/>
    <mergeCell ref="B2:N2"/>
    <mergeCell ref="B3:N3"/>
    <mergeCell ref="B5:N5"/>
    <mergeCell ref="B6:B7"/>
    <mergeCell ref="D6:D7"/>
    <mergeCell ref="E6:E7"/>
    <mergeCell ref="N6:N7"/>
    <mergeCell ref="C6:C7"/>
    <mergeCell ref="F6:F7"/>
    <mergeCell ref="G6:J6"/>
    <mergeCell ref="K6:K7"/>
    <mergeCell ref="L6:M6"/>
    <mergeCell ref="B8:C8"/>
    <mergeCell ref="B23:C23"/>
    <mergeCell ref="B25:C25"/>
    <mergeCell ref="B40:C40"/>
    <mergeCell ref="B42:C42"/>
    <mergeCell ref="B118:C118"/>
    <mergeCell ref="B120:C120"/>
    <mergeCell ref="B124:N124"/>
    <mergeCell ref="B125:N125"/>
    <mergeCell ref="B61:C61"/>
    <mergeCell ref="B63:C63"/>
    <mergeCell ref="B84:C84"/>
    <mergeCell ref="B86:C86"/>
    <mergeCell ref="B116:C116"/>
  </mergeCells>
  <conditionalFormatting sqref="Z8:AL119">
    <cfRule type="expression" dxfId="4" priority="1">
      <formula>AND(OR($N8="Contrato en Ejecucion",$N8="Proceso en Curso"),Z8="")</formula>
    </cfRule>
  </conditionalFormatting>
  <conditionalFormatting sqref="B43:BK60 B87:BK115 B9:BK22 B26:BK39 B64:BK83">
    <cfRule type="expression" dxfId="3" priority="2">
      <formula>$Y9=""</formula>
    </cfRule>
  </conditionalFormatting>
  <conditionalFormatting sqref="B8:BK119">
    <cfRule type="expression" dxfId="2" priority="3">
      <formula>$N8="Proceso en Curso"</formula>
    </cfRule>
  </conditionalFormatting>
  <conditionalFormatting sqref="B8:BK119">
    <cfRule type="expression" dxfId="1" priority="4">
      <formula>$N8="Contrato en Ejecucion"</formula>
    </cfRule>
  </conditionalFormatting>
  <conditionalFormatting sqref="B8:BK119">
    <cfRule type="expression" dxfId="0" priority="5">
      <formula>$N8="Proceso Cancelado"</formula>
    </cfRule>
  </conditionalFormatting>
  <dataValidations count="2">
    <dataValidation type="list" allowBlank="1" showErrorMessage="1" sqref="N9:N22 N43:N60 N87:N115 N26:N39 N64:N81" xr:uid="{00000000-0002-0000-0000-000000000000}">
      <formula1>"Previsto,Proceso en Curso,Proceso Cancelado,Contrato en Ejecucion,Contrato Terminado"</formula1>
    </dataValidation>
    <dataValidation type="list" allowBlank="1" showErrorMessage="1" sqref="X9:X22 X43:X60 X87:X115 C129:C131 X26:X39 X64:X83" xr:uid="{00000000-0002-0000-0000-000001000000}">
      <formula1>"Administración del Programa,1. Ampliación mejoramiento de AP y Alcantarillado,2. Mejora de la gestión de AyS de Portoviejo"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PLAN GENERAL</vt:lpstr>
      <vt:lpstr>'PLAN GENERAL'!menu4</vt:lpstr>
      <vt:lpstr>'PLAN GENERAL'!solver_adj</vt:lpstr>
      <vt:lpstr>'PLAN GENERAL'!solver_opt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Rivadeneira Mendoza Jahaira Katherine</cp:lastModifiedBy>
  <cp:lastPrinted>2022-01-21T15:18:17Z</cp:lastPrinted>
  <dcterms:created xsi:type="dcterms:W3CDTF">2019-09-25T20:27:11Z</dcterms:created>
  <dcterms:modified xsi:type="dcterms:W3CDTF">2022-01-21T15:20:19Z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TaxKeywordTaxHTField">
    <vt:lpwstr/>
  </property>
  <property fmtid="{D5CDD505-2E9C-101B-9397-08002B2CF9AE}" pid="4" name="Series Operations IDB">
    <vt:lpwstr/>
  </property>
  <property fmtid="{D5CDD505-2E9C-101B-9397-08002B2CF9AE}" pid="5" name="Sub-Sector">
    <vt:lpwstr>223;#AS-AGR|8436ee66-009e-4204-be28-64e6f6bf19fc</vt:lpwstr>
  </property>
  <property fmtid="{D5CDD505-2E9C-101B-9397-08002B2CF9AE}" pid="6" name="Fund IDB">
    <vt:lpwstr/>
  </property>
  <property fmtid="{D5CDD505-2E9C-101B-9397-08002B2CF9AE}" pid="7" name="Country">
    <vt:lpwstr>32;#EC|8f163189-00fa-4e7c-827d-28fb5798781c</vt:lpwstr>
  </property>
  <property fmtid="{D5CDD505-2E9C-101B-9397-08002B2CF9AE}" pid="8" name="Disclosed">
    <vt:bool>false</vt:bool>
  </property>
  <property fmtid="{D5CDD505-2E9C-101B-9397-08002B2CF9AE}" pid="9" name="Sector IDB">
    <vt:lpwstr>48;#AS|ba6b63cd-e402-47cb-9357-08149f7ce046</vt:lpwstr>
  </property>
  <property fmtid="{D5CDD505-2E9C-101B-9397-08002B2CF9AE}" pid="10" name="Function Operations IDB">
    <vt:lpwstr>1;#Project Preparation, Planning and Design|29ca0c72-1fc4-435f-a09c-28585cb5eac9</vt:lpwstr>
  </property>
  <property fmtid="{D5CDD505-2E9C-101B-9397-08002B2CF9AE}" pid="11" name="_dlc_DocIdItemGuid">
    <vt:lpwstr>0b720d91-e2a4-40b1-b46f-ea462573da28</vt:lpwstr>
  </property>
  <property fmtid="{D5CDD505-2E9C-101B-9397-08002B2CF9AE}" pid="12" name="ContentTypeId">
    <vt:lpwstr>0x0101001A458A224826124E8B45B1D613300CFC00A4C0DC21E4D83F4C8FB11EEB6B012077</vt:lpwstr>
  </property>
</Properties>
</file>